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2"/>
  </bookViews>
  <sheets>
    <sheet name="รายรับ-จ่าย" sheetId="1" r:id="rId1"/>
    <sheet name="ปรับปรุง" sheetId="2" r:id="rId2"/>
    <sheet name="งบรายรับจ่าย" sheetId="3" r:id="rId3"/>
    <sheet name="งทล.ก่อนปิด" sheetId="4" r:id="rId4"/>
    <sheet name="งบทรัพย์สิน" sheetId="5" r:id="rId5"/>
    <sheet name="งบแสดงฐานะการเงิน" sheetId="6" r:id="rId6"/>
    <sheet name="ทุนสำรองเงินสะสม" sheetId="7" r:id="rId7"/>
    <sheet name="งทลปิด" sheetId="8" r:id="rId8"/>
  </sheets>
  <externalReferences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<sst xmlns="http://schemas.openxmlformats.org/spreadsheetml/2006/main" count="522" uniqueCount="210">
  <si>
    <t>องค์การบริหารส่วนตำบลขามสะแกแสง   อำเภอขามสะแกแสง    จังหวัดนครราชสีมา</t>
  </si>
  <si>
    <t>รายการ</t>
  </si>
  <si>
    <t>รายรับ</t>
  </si>
  <si>
    <t>ก.รายได้จัดเก็บเอง</t>
  </si>
  <si>
    <t>1.  หมวดภาษีอากร</t>
  </si>
  <si>
    <t>1.1  ภาษีบำรุงท้องที่</t>
  </si>
  <si>
    <t>1.2  ภาษีโรงเรือนและที่ดิน</t>
  </si>
  <si>
    <t>1.3  ภาษีป้าย</t>
  </si>
  <si>
    <t>2.  หมวดค่าธรรมเนียม  ค่าปรับ  และใบอนุญาติ</t>
  </si>
  <si>
    <t>3.  หมวดรายได้จากทรัพย์สิน</t>
  </si>
  <si>
    <t>3.1  ดอกเบี้ยเงินฝากธนาคาร</t>
  </si>
  <si>
    <t>4.  หมวดรายได้จากสาธารณูปโภคและการพาณิชย์</t>
  </si>
  <si>
    <t>5.หมวดรายได้เบ็ดเตล็ด</t>
  </si>
  <si>
    <t>5.1  ค่าขายแบบแปลน</t>
  </si>
  <si>
    <t>6.  หมวดรายได้จากทุน</t>
  </si>
  <si>
    <t>(รวมทั้งสิ้น)</t>
  </si>
  <si>
    <t>(รวม)</t>
  </si>
  <si>
    <t>รับจริง</t>
  </si>
  <si>
    <t xml:space="preserve"> - 2 -</t>
  </si>
  <si>
    <t>ข.รายได้ที่รัฐจัดเก็บและจัดสรรให้</t>
  </si>
  <si>
    <t>2.  หมวดค่าธรรมเนียม  ค่าปรับ  และใบอนุญาต</t>
  </si>
  <si>
    <t>3.  หมวดรายได้เบ็ดเตล็ด</t>
  </si>
  <si>
    <t>4.  หมวดเงินอุดหนุน</t>
  </si>
  <si>
    <t>5.  หมวดเงินอุดหนุนเฉพาะกิจ</t>
  </si>
  <si>
    <t xml:space="preserve"> - 3 -</t>
  </si>
  <si>
    <t>รายจ่าย</t>
  </si>
  <si>
    <t>ก.รายจ่ายประจำ</t>
  </si>
  <si>
    <t>1.  รายจ่ายงบกลาง</t>
  </si>
  <si>
    <t>2.  หมวดเงินเดือนและค่าจ้างประจำ</t>
  </si>
  <si>
    <t>3.  หมวดค่าจ้างชั่วคราว</t>
  </si>
  <si>
    <t>4.  หมวดค่าตอบแทน  ใช้สอยและวัสดุ</t>
  </si>
  <si>
    <t>5.  หมวดค่าสาธารณูปโภค</t>
  </si>
  <si>
    <t>6.  หมวเงินอุดหนุน</t>
  </si>
  <si>
    <t>ข.  รายจ่ายเพื่อการลงทุน</t>
  </si>
  <si>
    <t>1.  หมวดค่าครุภัณฑ์ที่ดินและสิ่งก่อสร้าง</t>
  </si>
  <si>
    <t>ค.  รายจ่ายที่จ่ายจากเงินอุดหนุนเฉพาะกิจ</t>
  </si>
  <si>
    <t>องค์การบริหารส่วนตำบลขามสะแกแสง  อำเภอขามสะแกแสง   จังหวัดนครราชสีมา</t>
  </si>
  <si>
    <t>รายรับตามประมาณการ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</si>
  <si>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</si>
  <si>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</si>
  <si>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</si>
  <si>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</si>
  <si>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</si>
  <si>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</si>
  <si>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</si>
  <si>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</si>
  <si>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รวมเงินตามประมาณการรายรับทั้งสิ้น</t>
  </si>
  <si>
    <t>ประมาณการ</t>
  </si>
  <si>
    <t>รายรับจริง</t>
  </si>
  <si>
    <t xml:space="preserve"> +</t>
  </si>
  <si>
    <t xml:space="preserve"> -</t>
  </si>
  <si>
    <t>สูง</t>
  </si>
  <si>
    <t>ต่ำ</t>
  </si>
  <si>
    <t>รายจ่ายตามประมาณการ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</si>
  <si>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</si>
  <si>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</si>
  <si>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</si>
  <si>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</si>
  <si>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</si>
  <si>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</si>
  <si>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</si>
  <si>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</si>
  <si>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</si>
  <si>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</si>
  <si>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</si>
  <si>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รวมรายจ่ายตามประมาณการรายจ่ายทั้งสิ้น</t>
  </si>
  <si>
    <t>รายจ่ายที่จ่ายจากเงินอุดหนุนที่รัฐบาลให้โดยมีวัถุประสงค์</t>
  </si>
  <si>
    <t>สูงกว่า</t>
  </si>
  <si>
    <t>(ต่ำกว่า)</t>
  </si>
  <si>
    <t xml:space="preserve">                 รวมรายจ่ายทั้งสิ้น</t>
  </si>
  <si>
    <t>รายรับ                                                                    รายจ่าย</t>
  </si>
  <si>
    <t xml:space="preserve">                     รวมรายรับทั้งสิ้น</t>
  </si>
  <si>
    <t>จ่ายจริง</t>
  </si>
  <si>
    <t>องค์การบริหารส่วนตำบลขามสะแกแสง    อำเภอขามสะแกแสง   จังหวัดนครราชสีมา</t>
  </si>
  <si>
    <t>รหัสบัญชี</t>
  </si>
  <si>
    <t>เดบิท</t>
  </si>
  <si>
    <t>เครดิต</t>
  </si>
  <si>
    <t>เงินฝาก ธกส.สาขาขามสะแกแสง (ออมทรัพย์)เลขที่ 291-2-49387-3</t>
  </si>
  <si>
    <t>เงินฝาก ธกส.สาขาขามสะแกแสง (ออมทรัพย์)เลขที่ 291-2-56657-3</t>
  </si>
  <si>
    <t>ลูกหนี้เงินยืมเงินงบประมาณ</t>
  </si>
  <si>
    <t>รายได้ค้างรับ</t>
  </si>
  <si>
    <t>เงินสะสม</t>
  </si>
  <si>
    <t>เงินรายรับ(หมายเหตุ1)</t>
  </si>
  <si>
    <t>เงินรับฝาก (หมายเหตุ2)</t>
  </si>
  <si>
    <t>เงินนอกงบประมาณ-เงินทุนโครงการเศรษฐกิจชุมชน</t>
  </si>
  <si>
    <t>เรียน  นายกองค์การบริหารส่วนตำบลขามสะแกแสง</t>
  </si>
  <si>
    <t xml:space="preserve">           -  จึงเรียนมาเพื่อโปรดทราบ</t>
  </si>
  <si>
    <t>งบทดลอง  (หลังปิดบัญชี)</t>
  </si>
  <si>
    <t>องค์การบริหารส่วนตำบลขามสะแกแสง     อำเภอขามสะแกแสง    จังหวัดนครราชสีมา</t>
  </si>
  <si>
    <t>งบแสดงฐานะการเงิน</t>
  </si>
  <si>
    <t>ทรัพย์สิน</t>
  </si>
  <si>
    <t>ทรัพย์สินตามงบทรัพย์สิน</t>
  </si>
  <si>
    <t>เงินฝาก ธกส.(ออมทรัพย์)เลขที่ 291-2-56657-3</t>
  </si>
  <si>
    <t>เงินฝาก ธกส.(ออมทรัพย์)เลขที่ 291-2-49387-3</t>
  </si>
  <si>
    <t xml:space="preserve"> </t>
  </si>
  <si>
    <t>4.1  เงินอุดหนุนทั่วไปถ่ายโอนตามภารกิจเลือกทำ</t>
  </si>
  <si>
    <t>รายจ่ายจริง</t>
  </si>
  <si>
    <t>กลับรายการลูกหนี้คงค้างเดิมที่บันทึกไว้โดย</t>
  </si>
  <si>
    <t>Dr.</t>
  </si>
  <si>
    <t>Cr.</t>
  </si>
  <si>
    <t>ปิดบัญชีรายรับจริงสูงกว่ารายจ่ายจริงเข้าสะสม</t>
  </si>
  <si>
    <t>รายได้</t>
  </si>
  <si>
    <t>รายจ่ายตามงปม.</t>
  </si>
  <si>
    <t>เงินสะสม(ผลต่าง)</t>
  </si>
  <si>
    <t>งบทดลอง</t>
  </si>
  <si>
    <t>เงินทุนสำรองเงินสะสม</t>
  </si>
  <si>
    <t>รายจ่ายรอจ่าย</t>
  </si>
  <si>
    <t>รายจ่ายค้างจ่าย</t>
  </si>
  <si>
    <t>หนี้สินและเงินสะสม</t>
  </si>
  <si>
    <t>ทุนทรัพย์สิน</t>
  </si>
  <si>
    <t>เงินรับฝากต่างๆ</t>
  </si>
  <si>
    <t>เงินทุนโครงการเศรษฐกิจชุมชน</t>
  </si>
  <si>
    <t>เงินทุนสำรองสะสม</t>
  </si>
  <si>
    <t>งบทรัพย์สิน</t>
  </si>
  <si>
    <t>ประเภททรัพย์สิน</t>
  </si>
  <si>
    <t>ยกมาจาก</t>
  </si>
  <si>
    <t>งวดก่อน</t>
  </si>
  <si>
    <t>รับเพิ่ม</t>
  </si>
  <si>
    <t>งวดนี้</t>
  </si>
  <si>
    <t>จำหน่าย</t>
  </si>
  <si>
    <t>ยกไป</t>
  </si>
  <si>
    <t>งวดหน้า</t>
  </si>
  <si>
    <t>ทรัพย์สินเกิดจาก</t>
  </si>
  <si>
    <t>จำนวน</t>
  </si>
  <si>
    <t xml:space="preserve">ก.  </t>
  </si>
  <si>
    <t>อสังหาริมทรัพย์</t>
  </si>
  <si>
    <t xml:space="preserve"> - ที่ดิน</t>
  </si>
  <si>
    <t xml:space="preserve"> - อาคาร</t>
  </si>
  <si>
    <t>สังหาริมทรัพย์</t>
  </si>
  <si>
    <t xml:space="preserve"> - เครื่องใช้สำนักงาน</t>
  </si>
  <si>
    <t xml:space="preserve"> - ครุภัณฑ์พาหนะ</t>
  </si>
  <si>
    <t xml:space="preserve"> - ครุภัณฑ์ก่อสร้าง</t>
  </si>
  <si>
    <t>ข.</t>
  </si>
  <si>
    <t>ก.</t>
  </si>
  <si>
    <t>รายได้องค์การบริหารส่วนตำบล</t>
  </si>
  <si>
    <t>เงินอุดหนุนรัฐบาล</t>
  </si>
  <si>
    <t xml:space="preserve">ค. </t>
  </si>
  <si>
    <t>1.   คำนวณยอดบัญชีสำรองเงินรายรับ</t>
  </si>
  <si>
    <t>รายรับจริงตามรายงานรับ - จ่ายเงินสด</t>
  </si>
  <si>
    <t>นำไปตั้งยอดบัญชีสำรองเงินรายรับ</t>
  </si>
  <si>
    <t>จำนวนเงินที่ตกเป็นเงินสะสม</t>
  </si>
  <si>
    <r>
      <t>หัก</t>
    </r>
    <r>
      <rPr>
        <sz val="16"/>
        <rFont val="Angsana New"/>
        <family val="1"/>
      </rPr>
      <t xml:space="preserve"> ทุนสำรองเงินสะสม</t>
    </r>
  </si>
  <si>
    <t>รายรับจริงเกินประมาณการรายรับ ณ วันที่  30  ก.ย. 2550</t>
  </si>
  <si>
    <t>1.  ปิดบัญชิเพื่อคำนวณเงินสะสมจากยอดผลต่างระหว่างรายรับและรายจ่ายที่ได้ตั้ง งปม. ไว้แล้ว</t>
  </si>
  <si>
    <r>
      <t>หัก</t>
    </r>
    <r>
      <rPr>
        <sz val="16"/>
        <color indexed="9"/>
        <rFont val="Angsana New"/>
        <family val="1"/>
      </rPr>
      <t xml:space="preserve"> ประมาณการรายรับตามรายงานรับ - จ่ายเงินสด</t>
    </r>
  </si>
  <si>
    <t>ปรับปรุงรายการเงินโบนัสที่ตั้งงปม.ไว้แล้วแต่ไม่สามารถเบิกจ่ายได้ทัน</t>
  </si>
  <si>
    <t>ปรับปรุงรายการรายจ่ายค้างจ่าย</t>
  </si>
  <si>
    <t>ปรับปรุงรายการปิดรายจ่ายค้างจ่ายเข้าบัญชีเงินสะสม</t>
  </si>
  <si>
    <t>ค่าวัสดุอื่นๆ อาหารเสริม(นม)โรงเรียน</t>
  </si>
  <si>
    <t>2.1  ค่าธรรมเนียมเกี่ยวกับการควบคุมอาคาร</t>
  </si>
  <si>
    <t>2.2  ค่าใบอนุญาตเกี่ยวกับการควบคุมอาคาร</t>
  </si>
  <si>
    <t>2.3  ค่าใบอนุญาตจำหน่ายสินค้าในที่สาธารณะ</t>
  </si>
  <si>
    <t>2.4  ค่าธรรมเนียมใบอนุญาตกำจัดสิ่งปฎิกูลมูลฝอย</t>
  </si>
  <si>
    <t>2.5  ค่าธรรมเนียมใบอนุญาตประกอบกิจการที่เป็นอันตรายต่อสุขภาพ</t>
  </si>
  <si>
    <t>2.7  ค่าปรับการผิดสัญญา</t>
  </si>
  <si>
    <t>5.2  รายได้เบ็ดเตล็ดอื่น ๆ</t>
  </si>
  <si>
    <t>รวมเงินอุดหนุนที่รัฐบาลให้โดยมีวัตถุประสงค์</t>
  </si>
  <si>
    <t>เงินประโยชน์ตอบแทนอื่น (โบนัส/สำนักปลัด)</t>
  </si>
  <si>
    <t>เงินประโยชน์ตอบแทนอื่น (โบนัส/ส่วนการคลัง)</t>
  </si>
  <si>
    <t>เงินประโยชน์ตอบแทนอื่น (โบนัส/ส่วนโยธา)</t>
  </si>
  <si>
    <t>เงินประโยชน์ตอบแทนอื่น(โบนัส/การศึกษา)</t>
  </si>
  <si>
    <t>งบรายรับ - รายจ่ายตามงบประมาณ  ประจำปี  2553</t>
  </si>
  <si>
    <t>ตั้งแต่วันที่  1  ตุลาคม  2552    ถึงวันที่  30  กันยายน  2553</t>
  </si>
  <si>
    <r>
      <t>หัก</t>
    </r>
    <r>
      <rPr>
        <sz val="16"/>
        <rFont val="Angsana New"/>
        <family val="1"/>
      </rPr>
      <t xml:space="preserve">  รายจ่ายจริง</t>
    </r>
  </si>
  <si>
    <t>เงินอุดหนุนเฉพาะกิจ</t>
  </si>
  <si>
    <t>2.6  ค่าธรรมเนียมใบอนุญาตจำหน่ายอาหารและสะสมอาหาร</t>
  </si>
  <si>
    <t>3.2  เงินปันผล,เงินรางวัลต่างๆ</t>
  </si>
  <si>
    <t>2.8  ค่าปรับผู้กระทำผิดกฎหมายจราจร</t>
  </si>
  <si>
    <t>2.8  ค่าธรรมเนียมการจดทะเบียนพาณิชย์</t>
  </si>
  <si>
    <t>1.1  ภาษีมูลค่าเพิ่ม 1 ใน 9</t>
  </si>
  <si>
    <t>1.2  ภาษีมูลค่าเพิ่มตาม พรบ.แผนฯ</t>
  </si>
  <si>
    <t>1.3  ภาษีสุรา</t>
  </si>
  <si>
    <t>1.4  ภาษีสรรพสามิต</t>
  </si>
  <si>
    <t>1.5  ภาษีและค่าธรรมเนียมจดทะเบียนสิทธิ์และนิติกรรมที่ดิน</t>
  </si>
  <si>
    <t>1.6  ภาษีธุรกิจเฉพาะ</t>
  </si>
  <si>
    <t>1.7  ค่าภาคหลวงแร่</t>
  </si>
  <si>
    <t>1.8  ค่าภาคหลวงปิโตรเลี่ยม</t>
  </si>
  <si>
    <t>5.1  เงินอุดหนุนเบี้ยยังชีพคนชรา</t>
  </si>
  <si>
    <t>5.2  เงินอุดหนุนเบี้ยยังชีพคนพิการ</t>
  </si>
  <si>
    <t>1  เงินอุดหนุนเบี้ยยังชีพคนชรา</t>
  </si>
  <si>
    <t>2  เงินอุดหนุนเบี้ยยังชีพคนพิการ</t>
  </si>
  <si>
    <t>งบรายรับ - รายจ่ายตามงบประมาณ  ประจำปี  2554</t>
  </si>
  <si>
    <t>ตั้งแต่วันที่  1  ตุลาคม  2553    ถึงวันที่  30  กันยายน  2554</t>
  </si>
  <si>
    <t>เงินฝาก ธ.ออมสิน สาขาโนนไทย (ประจำ)เลขที่ 300002588204</t>
  </si>
  <si>
    <r>
      <t xml:space="preserve">7.  หมวดรายจ่ายอื่น </t>
    </r>
    <r>
      <rPr>
        <sz val="14"/>
        <color indexed="9"/>
        <rFont val="TH SarabunPSK"/>
        <family val="2"/>
      </rPr>
      <t xml:space="preserve"> (โบนัส 389,730  </t>
    </r>
  </si>
  <si>
    <t>ตั้งยอดเงินทุนสำรองสะสม  25 %  ของปี งปม. 2554</t>
  </si>
  <si>
    <r>
      <t>บวก</t>
    </r>
    <r>
      <rPr>
        <sz val="14"/>
        <rFont val="TH SarabunPSK"/>
        <family val="2"/>
      </rPr>
      <t xml:space="preserve"> รับจริงสูงกว่าจ่ายจริง</t>
    </r>
  </si>
  <si>
    <r>
      <t>หัก</t>
    </r>
    <r>
      <rPr>
        <sz val="14"/>
        <rFont val="TH SarabunPSK"/>
        <family val="2"/>
      </rPr>
      <t xml:space="preserve"> รายได้ค้างรับ</t>
    </r>
  </si>
  <si>
    <r>
      <t xml:space="preserve">หัก </t>
    </r>
    <r>
      <rPr>
        <sz val="14"/>
        <rFont val="TH SarabunPSK"/>
        <family val="2"/>
      </rPr>
      <t xml:space="preserve"> จ่ายขาดสะสม</t>
    </r>
  </si>
  <si>
    <t>เงินสะสมประจำปี 2554</t>
  </si>
  <si>
    <t>ปรับปรุงบัญชี  30  กย 55</t>
  </si>
  <si>
    <t>บันทึกลูกหนี้คงค้างสำรวจใหม่ปีนี้มีลูกหนี้คงค้างปี 55  (ภาษีจัดเก็บเอง)  จำนวน   179  คน  เป็นเงิน    5,992  บาท</t>
  </si>
  <si>
    <t>ปรับปรุงรายการปิดรายจ่ายรอจ่ายเข้าบัญชีเงินสะสม</t>
  </si>
  <si>
    <t>เงินเดือน(ผู้บริหาร)</t>
  </si>
  <si>
    <t>ค่าตอบแทนสมาชิกสภา</t>
  </si>
  <si>
    <t>บัญชีรายละเอียดรายรับ - รายจ่ายจริง  ปีงบประมาณ  2555</t>
  </si>
  <si>
    <t>5.3  เงินอุดหนุนโครงการยาเสพติด</t>
  </si>
  <si>
    <t>3  เงินอุดหนุนโครงการยาเสพติด</t>
  </si>
  <si>
    <t>งบรายรับ - รายจ่ายตามงบประมาณ  ประจำปี  2555</t>
  </si>
  <si>
    <t>ตั้งแต่วันที่  1  ตุลาคม  2554    ถึงวันที่  30  กันยายน  2555</t>
  </si>
  <si>
    <t>ณ  วันที่  30  กันยายน  2555</t>
  </si>
  <si>
    <t xml:space="preserve">           -  ส่วนการคลังได้จัดทำงบทดลองประจำเดือนกันยายน  2555  เสร็จเรียบร้อยแล้ว</t>
  </si>
  <si>
    <t>ลูกหนี้เงินยืมเงินนอกงบประมาณ</t>
  </si>
  <si>
    <t>ณ   วันที่  30  กันยายน  2555</t>
  </si>
  <si>
    <t>องค์การบริหารส่วนตำบลขามสะแกแสง    อำเภอขามสะแกแสง     จังหวัดนครราชสีมา</t>
  </si>
  <si>
    <r>
      <t>หมายเหตุ</t>
    </r>
    <r>
      <rPr>
        <sz val="16"/>
        <color indexed="56"/>
        <rFont val="Angsana New"/>
        <family val="1"/>
      </rPr>
      <t xml:space="preserve">     ทุนสำรองเงินสะสม  =   (  4,415,881.56 X 25%  = 1,103,944.44 )</t>
    </r>
  </si>
  <si>
    <t>เงินสะสม 1  ตค. 54</t>
  </si>
  <si>
    <r>
      <t>บวก</t>
    </r>
    <r>
      <rPr>
        <sz val="14"/>
        <rFont val="TH SarabunPSK"/>
        <family val="2"/>
      </rPr>
      <t xml:space="preserve"> รับคืนระหว่างปี</t>
    </r>
  </si>
  <si>
    <r>
      <t xml:space="preserve">หัก </t>
    </r>
    <r>
      <rPr>
        <sz val="14"/>
        <rFont val="TH SarabunPSK"/>
        <family val="2"/>
      </rPr>
      <t xml:space="preserve"> เงินทุนสำรองสะสม</t>
    </r>
  </si>
  <si>
    <r>
      <t>บวก</t>
    </r>
    <r>
      <rPr>
        <sz val="14"/>
        <rFont val="TH SarabunPSK"/>
        <family val="2"/>
      </rPr>
      <t xml:space="preserve"> ปรับปรุงค้างรับ,รอจ่าย,ค้างจ่าย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</si>
</sst>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78">
    <font>
      <sz val="10"/>
      <name val="Arial"/>
      <family val="0"/>
    </font>
    <font>
      <sz val="14"/>
      <name val="Angsana New"/>
      <family val="1"/>
    </font>
    <font>
      <sz val="8"/>
      <name val="Arial"/>
      <family val="2"/>
    </font>
    <font>
      <b/>
      <sz val="14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sz val="14"/>
      <color indexed="9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color indexed="9"/>
      <name val="Angsana New"/>
      <family val="1"/>
    </font>
    <font>
      <u val="single"/>
      <sz val="16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b/>
      <sz val="16"/>
      <color indexed="9"/>
      <name val="Angsana New"/>
      <family val="1"/>
    </font>
    <font>
      <u val="single"/>
      <sz val="16"/>
      <color indexed="9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0"/>
      <color indexed="10"/>
      <name val="Arial"/>
      <family val="2"/>
    </font>
    <font>
      <sz val="14"/>
      <color indexed="12"/>
      <name val="TH SarabunPSK"/>
      <family val="2"/>
    </font>
    <font>
      <sz val="14"/>
      <color indexed="14"/>
      <name val="TH SarabunPSK"/>
      <family val="2"/>
    </font>
    <font>
      <sz val="14"/>
      <color indexed="9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u val="single"/>
      <sz val="16"/>
      <color indexed="56"/>
      <name val="Angsana New"/>
      <family val="1"/>
    </font>
    <font>
      <sz val="16"/>
      <color indexed="56"/>
      <name val="Angsana New"/>
      <family val="1"/>
    </font>
    <font>
      <sz val="14"/>
      <color indexed="5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sz val="13"/>
      <color indexed="8"/>
      <name val="Angsana New"/>
      <family val="0"/>
    </font>
    <font>
      <sz val="13"/>
      <color indexed="8"/>
      <name val="TH SarabunPSK"/>
      <family val="0"/>
    </font>
    <font>
      <sz val="14"/>
      <color indexed="8"/>
      <name val="TH SarabunPSK"/>
      <family val="0"/>
    </font>
    <font>
      <sz val="20"/>
      <color indexed="8"/>
      <name val="TH SarabunPSK"/>
      <family val="0"/>
    </font>
    <font>
      <sz val="28"/>
      <color indexed="8"/>
      <name val="TH SarabunPSK"/>
      <family val="0"/>
    </font>
    <font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  <font>
      <sz val="14"/>
      <color theme="1"/>
      <name val="Angsana New"/>
      <family val="1"/>
    </font>
    <font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5" applyNumberFormat="0" applyAlignment="0" applyProtection="0"/>
    <xf numFmtId="0" fontId="0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194" fontId="5" fillId="0" borderId="12" xfId="36" applyFont="1" applyBorder="1" applyAlignment="1">
      <alignment horizontal="center"/>
    </xf>
    <xf numFmtId="194" fontId="5" fillId="0" borderId="13" xfId="36" applyFont="1" applyBorder="1" applyAlignment="1">
      <alignment horizontal="center"/>
    </xf>
    <xf numFmtId="194" fontId="5" fillId="0" borderId="12" xfId="36" applyFont="1" applyBorder="1" applyAlignment="1">
      <alignment/>
    </xf>
    <xf numFmtId="194" fontId="5" fillId="0" borderId="14" xfId="36" applyFont="1" applyBorder="1" applyAlignment="1">
      <alignment/>
    </xf>
    <xf numFmtId="194" fontId="5" fillId="0" borderId="13" xfId="36" applyFont="1" applyBorder="1" applyAlignment="1">
      <alignment/>
    </xf>
    <xf numFmtId="194" fontId="5" fillId="0" borderId="0" xfId="36" applyFont="1" applyAlignment="1">
      <alignment/>
    </xf>
    <xf numFmtId="194" fontId="5" fillId="0" borderId="0" xfId="36" applyFont="1" applyAlignment="1">
      <alignment horizontal="center"/>
    </xf>
    <xf numFmtId="194" fontId="4" fillId="0" borderId="0" xfId="36" applyFont="1" applyAlignment="1">
      <alignment/>
    </xf>
    <xf numFmtId="194" fontId="4" fillId="0" borderId="0" xfId="36" applyFont="1" applyAlignment="1">
      <alignment horizontal="center"/>
    </xf>
    <xf numFmtId="194" fontId="6" fillId="0" borderId="15" xfId="36" applyFont="1" applyBorder="1" applyAlignment="1">
      <alignment/>
    </xf>
    <xf numFmtId="194" fontId="6" fillId="0" borderId="12" xfId="36" applyFont="1" applyBorder="1" applyAlignment="1">
      <alignment/>
    </xf>
    <xf numFmtId="194" fontId="1" fillId="0" borderId="0" xfId="36" applyFont="1" applyAlignment="1">
      <alignment/>
    </xf>
    <xf numFmtId="194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194" fontId="1" fillId="0" borderId="0" xfId="36" applyFont="1" applyBorder="1" applyAlignment="1">
      <alignment/>
    </xf>
    <xf numFmtId="0" fontId="8" fillId="0" borderId="0" xfId="0" applyFont="1" applyAlignment="1">
      <alignment/>
    </xf>
    <xf numFmtId="194" fontId="8" fillId="0" borderId="0" xfId="36" applyFont="1" applyAlignment="1">
      <alignment/>
    </xf>
    <xf numFmtId="194" fontId="10" fillId="0" borderId="0" xfId="36" applyFont="1" applyAlignment="1">
      <alignment/>
    </xf>
    <xf numFmtId="0" fontId="8" fillId="0" borderId="0" xfId="0" applyFont="1" applyBorder="1" applyAlignment="1">
      <alignment/>
    </xf>
    <xf numFmtId="194" fontId="8" fillId="0" borderId="16" xfId="36" applyFont="1" applyBorder="1" applyAlignment="1">
      <alignment/>
    </xf>
    <xf numFmtId="43" fontId="10" fillId="0" borderId="0" xfId="0" applyNumberFormat="1" applyFont="1" applyAlignment="1">
      <alignment/>
    </xf>
    <xf numFmtId="194" fontId="8" fillId="0" borderId="0" xfId="36" applyFont="1" applyBorder="1" applyAlignment="1">
      <alignment/>
    </xf>
    <xf numFmtId="19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4" fontId="5" fillId="0" borderId="14" xfId="36" applyFont="1" applyBorder="1" applyAlignment="1">
      <alignment horizontal="center"/>
    </xf>
    <xf numFmtId="0" fontId="6" fillId="0" borderId="0" xfId="0" applyFont="1" applyAlignment="1">
      <alignment/>
    </xf>
    <xf numFmtId="194" fontId="6" fillId="0" borderId="12" xfId="36" applyFont="1" applyBorder="1" applyAlignment="1">
      <alignment horizontal="center"/>
    </xf>
    <xf numFmtId="194" fontId="6" fillId="0" borderId="13" xfId="36" applyFont="1" applyBorder="1" applyAlignment="1">
      <alignment horizontal="center"/>
    </xf>
    <xf numFmtId="194" fontId="6" fillId="0" borderId="13" xfId="36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194" fontId="8" fillId="0" borderId="11" xfId="36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7" xfId="0" applyFont="1" applyBorder="1" applyAlignment="1">
      <alignment/>
    </xf>
    <xf numFmtId="194" fontId="12" fillId="0" borderId="0" xfId="36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94" fontId="10" fillId="0" borderId="0" xfId="36" applyFont="1" applyBorder="1" applyAlignment="1">
      <alignment/>
    </xf>
    <xf numFmtId="194" fontId="7" fillId="0" borderId="0" xfId="36" applyFont="1" applyBorder="1" applyAlignment="1">
      <alignment/>
    </xf>
    <xf numFmtId="0" fontId="15" fillId="0" borderId="0" xfId="0" applyFont="1" applyBorder="1" applyAlignment="1">
      <alignment/>
    </xf>
    <xf numFmtId="194" fontId="10" fillId="0" borderId="16" xfId="36" applyFont="1" applyBorder="1" applyAlignment="1">
      <alignment/>
    </xf>
    <xf numFmtId="194" fontId="1" fillId="0" borderId="0" xfId="0" applyNumberFormat="1" applyFont="1" applyBorder="1" applyAlignment="1">
      <alignment/>
    </xf>
    <xf numFmtId="194" fontId="6" fillId="0" borderId="0" xfId="36" applyFont="1" applyBorder="1" applyAlignment="1">
      <alignment/>
    </xf>
    <xf numFmtId="43" fontId="1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194" fontId="8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43" fontId="17" fillId="0" borderId="18" xfId="36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43" fontId="17" fillId="0" borderId="20" xfId="36" applyNumberFormat="1" applyFont="1" applyBorder="1" applyAlignment="1">
      <alignment horizontal="center"/>
    </xf>
    <xf numFmtId="43" fontId="17" fillId="0" borderId="20" xfId="36" applyNumberFormat="1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1" xfId="0" applyFont="1" applyBorder="1" applyAlignment="1">
      <alignment horizontal="center"/>
    </xf>
    <xf numFmtId="43" fontId="17" fillId="0" borderId="21" xfId="36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3" fontId="17" fillId="0" borderId="13" xfId="36" applyNumberFormat="1" applyFont="1" applyBorder="1" applyAlignment="1">
      <alignment/>
    </xf>
    <xf numFmtId="43" fontId="19" fillId="0" borderId="0" xfId="0" applyNumberFormat="1" applyFont="1" applyAlignment="1">
      <alignment/>
    </xf>
    <xf numFmtId="194" fontId="17" fillId="0" borderId="0" xfId="36" applyFont="1" applyAlignment="1">
      <alignment/>
    </xf>
    <xf numFmtId="194" fontId="16" fillId="0" borderId="15" xfId="36" applyFont="1" applyBorder="1" applyAlignment="1">
      <alignment horizontal="center"/>
    </xf>
    <xf numFmtId="0" fontId="16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 horizontal="right"/>
    </xf>
    <xf numFmtId="194" fontId="16" fillId="0" borderId="25" xfId="36" applyFont="1" applyBorder="1" applyAlignment="1">
      <alignment/>
    </xf>
    <xf numFmtId="0" fontId="16" fillId="0" borderId="23" xfId="0" applyFont="1" applyBorder="1" applyAlignment="1">
      <alignment/>
    </xf>
    <xf numFmtId="194" fontId="16" fillId="0" borderId="13" xfId="36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4" xfId="0" applyFont="1" applyBorder="1" applyAlignment="1">
      <alignment/>
    </xf>
    <xf numFmtId="194" fontId="16" fillId="0" borderId="15" xfId="36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194" fontId="17" fillId="0" borderId="19" xfId="36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194" fontId="17" fillId="0" borderId="20" xfId="36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7" xfId="0" applyFont="1" applyBorder="1" applyAlignment="1">
      <alignment/>
    </xf>
    <xf numFmtId="194" fontId="17" fillId="0" borderId="14" xfId="36" applyFont="1" applyBorder="1" applyAlignment="1">
      <alignment/>
    </xf>
    <xf numFmtId="194" fontId="20" fillId="0" borderId="15" xfId="36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35" xfId="0" applyFont="1" applyBorder="1" applyAlignment="1">
      <alignment/>
    </xf>
    <xf numFmtId="194" fontId="17" fillId="0" borderId="36" xfId="36" applyFont="1" applyBorder="1" applyAlignment="1">
      <alignment/>
    </xf>
    <xf numFmtId="194" fontId="17" fillId="0" borderId="15" xfId="36" applyFont="1" applyBorder="1" applyAlignment="1">
      <alignment/>
    </xf>
    <xf numFmtId="194" fontId="16" fillId="0" borderId="0" xfId="36" applyFont="1" applyAlignment="1">
      <alignment/>
    </xf>
    <xf numFmtId="0" fontId="16" fillId="0" borderId="0" xfId="0" applyFont="1" applyAlignment="1">
      <alignment/>
    </xf>
    <xf numFmtId="0" fontId="17" fillId="0" borderId="37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9" xfId="0" applyFont="1" applyBorder="1" applyAlignment="1">
      <alignment/>
    </xf>
    <xf numFmtId="194" fontId="17" fillId="0" borderId="21" xfId="36" applyFont="1" applyBorder="1" applyAlignment="1">
      <alignment/>
    </xf>
    <xf numFmtId="0" fontId="17" fillId="0" borderId="11" xfId="0" applyFont="1" applyBorder="1" applyAlignment="1">
      <alignment horizontal="center"/>
    </xf>
    <xf numFmtId="194" fontId="17" fillId="0" borderId="11" xfId="36" applyFont="1" applyBorder="1" applyAlignment="1">
      <alignment horizontal="center"/>
    </xf>
    <xf numFmtId="194" fontId="21" fillId="0" borderId="0" xfId="36" applyFont="1" applyAlignment="1">
      <alignment/>
    </xf>
    <xf numFmtId="194" fontId="20" fillId="0" borderId="0" xfId="36" applyFont="1" applyAlignment="1">
      <alignment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194" fontId="17" fillId="0" borderId="18" xfId="36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44" xfId="0" applyFont="1" applyBorder="1" applyAlignment="1">
      <alignment/>
    </xf>
    <xf numFmtId="194" fontId="17" fillId="0" borderId="13" xfId="36" applyFont="1" applyBorder="1" applyAlignment="1">
      <alignment/>
    </xf>
    <xf numFmtId="0" fontId="23" fillId="0" borderId="10" xfId="0" applyFont="1" applyBorder="1" applyAlignment="1">
      <alignment/>
    </xf>
    <xf numFmtId="194" fontId="24" fillId="0" borderId="12" xfId="36" applyFont="1" applyBorder="1" applyAlignment="1">
      <alignment horizontal="center"/>
    </xf>
    <xf numFmtId="0" fontId="23" fillId="0" borderId="11" xfId="0" applyFont="1" applyBorder="1" applyAlignment="1">
      <alignment/>
    </xf>
    <xf numFmtId="194" fontId="24" fillId="0" borderId="13" xfId="36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194" fontId="23" fillId="0" borderId="12" xfId="36" applyFont="1" applyBorder="1" applyAlignment="1">
      <alignment/>
    </xf>
    <xf numFmtId="194" fontId="23" fillId="0" borderId="12" xfId="36" applyFont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194" fontId="23" fillId="0" borderId="14" xfId="36" applyFont="1" applyBorder="1" applyAlignment="1">
      <alignment/>
    </xf>
    <xf numFmtId="194" fontId="23" fillId="0" borderId="14" xfId="36" applyFont="1" applyBorder="1" applyAlignment="1">
      <alignment horizontal="center"/>
    </xf>
    <xf numFmtId="194" fontId="24" fillId="0" borderId="15" xfId="36" applyFont="1" applyBorder="1" applyAlignment="1">
      <alignment/>
    </xf>
    <xf numFmtId="194" fontId="23" fillId="0" borderId="0" xfId="36" applyFont="1" applyAlignment="1">
      <alignment/>
    </xf>
    <xf numFmtId="194" fontId="23" fillId="0" borderId="0" xfId="36" applyFont="1" applyAlignment="1">
      <alignment horizontal="center"/>
    </xf>
    <xf numFmtId="0" fontId="24" fillId="0" borderId="10" xfId="0" applyFont="1" applyBorder="1" applyAlignment="1">
      <alignment/>
    </xf>
    <xf numFmtId="194" fontId="23" fillId="0" borderId="13" xfId="36" applyFont="1" applyBorder="1" applyAlignment="1">
      <alignment/>
    </xf>
    <xf numFmtId="194" fontId="23" fillId="0" borderId="13" xfId="36" applyFont="1" applyBorder="1" applyAlignment="1">
      <alignment horizontal="center"/>
    </xf>
    <xf numFmtId="0" fontId="24" fillId="0" borderId="17" xfId="0" applyFont="1" applyBorder="1" applyAlignment="1">
      <alignment/>
    </xf>
    <xf numFmtId="194" fontId="24" fillId="0" borderId="13" xfId="36" applyFont="1" applyBorder="1" applyAlignment="1">
      <alignment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94" fontId="24" fillId="0" borderId="12" xfId="36" applyFont="1" applyBorder="1" applyAlignment="1">
      <alignment/>
    </xf>
    <xf numFmtId="0" fontId="25" fillId="0" borderId="0" xfId="0" applyFont="1" applyAlignment="1">
      <alignment/>
    </xf>
    <xf numFmtId="194" fontId="25" fillId="0" borderId="0" xfId="36" applyFont="1" applyAlignment="1">
      <alignment/>
    </xf>
    <xf numFmtId="194" fontId="25" fillId="0" borderId="0" xfId="36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2" xfId="0" applyFont="1" applyBorder="1" applyAlignment="1">
      <alignment/>
    </xf>
    <xf numFmtId="194" fontId="27" fillId="0" borderId="12" xfId="36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/>
    </xf>
    <xf numFmtId="194" fontId="27" fillId="0" borderId="0" xfId="36" applyFont="1" applyAlignment="1">
      <alignment/>
    </xf>
    <xf numFmtId="194" fontId="27" fillId="0" borderId="14" xfId="36" applyFont="1" applyBorder="1" applyAlignment="1">
      <alignment/>
    </xf>
    <xf numFmtId="0" fontId="27" fillId="0" borderId="13" xfId="0" applyFont="1" applyBorder="1" applyAlignment="1">
      <alignment/>
    </xf>
    <xf numFmtId="194" fontId="27" fillId="0" borderId="13" xfId="36" applyFont="1" applyBorder="1" applyAlignment="1">
      <alignment/>
    </xf>
    <xf numFmtId="0" fontId="27" fillId="0" borderId="0" xfId="0" applyFont="1" applyAlignment="1">
      <alignment/>
    </xf>
    <xf numFmtId="194" fontId="27" fillId="0" borderId="25" xfId="36" applyFont="1" applyBorder="1" applyAlignment="1">
      <alignment/>
    </xf>
    <xf numFmtId="0" fontId="18" fillId="0" borderId="0" xfId="0" applyFont="1" applyAlignment="1">
      <alignment/>
    </xf>
    <xf numFmtId="194" fontId="18" fillId="0" borderId="0" xfId="36" applyFont="1" applyAlignment="1">
      <alignment/>
    </xf>
    <xf numFmtId="0" fontId="17" fillId="0" borderId="15" xfId="0" applyFont="1" applyBorder="1" applyAlignment="1">
      <alignment horizontal="center"/>
    </xf>
    <xf numFmtId="0" fontId="17" fillId="0" borderId="14" xfId="0" applyFont="1" applyBorder="1" applyAlignment="1">
      <alignment/>
    </xf>
    <xf numFmtId="4" fontId="18" fillId="0" borderId="0" xfId="0" applyNumberFormat="1" applyFont="1" applyAlignment="1">
      <alignment/>
    </xf>
    <xf numFmtId="4" fontId="17" fillId="0" borderId="14" xfId="0" applyNumberFormat="1" applyFont="1" applyBorder="1" applyAlignment="1">
      <alignment/>
    </xf>
    <xf numFmtId="4" fontId="17" fillId="0" borderId="13" xfId="0" applyNumberFormat="1" applyFont="1" applyBorder="1" applyAlignment="1">
      <alignment/>
    </xf>
    <xf numFmtId="4" fontId="17" fillId="0" borderId="45" xfId="0" applyNumberFormat="1" applyFont="1" applyBorder="1" applyAlignment="1">
      <alignment/>
    </xf>
    <xf numFmtId="4" fontId="17" fillId="0" borderId="25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 horizontal="center"/>
    </xf>
    <xf numFmtId="4" fontId="17" fillId="0" borderId="20" xfId="0" applyNumberFormat="1" applyFont="1" applyBorder="1" applyAlignment="1">
      <alignment/>
    </xf>
    <xf numFmtId="4" fontId="17" fillId="0" borderId="21" xfId="0" applyNumberFormat="1" applyFont="1" applyBorder="1" applyAlignment="1">
      <alignment/>
    </xf>
    <xf numFmtId="0" fontId="28" fillId="0" borderId="46" xfId="0" applyFont="1" applyBorder="1" applyAlignment="1">
      <alignment horizontal="center"/>
    </xf>
    <xf numFmtId="0" fontId="16" fillId="0" borderId="47" xfId="0" applyFont="1" applyBorder="1" applyAlignment="1">
      <alignment/>
    </xf>
    <xf numFmtId="0" fontId="16" fillId="0" borderId="12" xfId="0" applyFont="1" applyBorder="1" applyAlignment="1">
      <alignment/>
    </xf>
    <xf numFmtId="0" fontId="28" fillId="0" borderId="10" xfId="0" applyFont="1" applyBorder="1" applyAlignment="1">
      <alignment horizontal="center"/>
    </xf>
    <xf numFmtId="194" fontId="17" fillId="0" borderId="32" xfId="36" applyFont="1" applyBorder="1" applyAlignment="1">
      <alignment/>
    </xf>
    <xf numFmtId="194" fontId="17" fillId="0" borderId="48" xfId="36" applyFont="1" applyBorder="1" applyAlignment="1">
      <alignment/>
    </xf>
    <xf numFmtId="194" fontId="17" fillId="0" borderId="17" xfId="36" applyFont="1" applyBorder="1" applyAlignment="1">
      <alignment/>
    </xf>
    <xf numFmtId="194" fontId="20" fillId="0" borderId="0" xfId="0" applyNumberFormat="1" applyFont="1" applyAlignment="1">
      <alignment/>
    </xf>
    <xf numFmtId="194" fontId="17" fillId="0" borderId="0" xfId="36" applyFont="1" applyBorder="1" applyAlignment="1">
      <alignment/>
    </xf>
    <xf numFmtId="43" fontId="17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18" fillId="0" borderId="14" xfId="0" applyFont="1" applyBorder="1" applyAlignment="1">
      <alignment/>
    </xf>
    <xf numFmtId="43" fontId="17" fillId="0" borderId="13" xfId="0" applyNumberFormat="1" applyFont="1" applyBorder="1" applyAlignment="1">
      <alignment/>
    </xf>
    <xf numFmtId="194" fontId="17" fillId="0" borderId="25" xfId="36" applyFont="1" applyBorder="1" applyAlignment="1">
      <alignment/>
    </xf>
    <xf numFmtId="194" fontId="22" fillId="0" borderId="0" xfId="36" applyFont="1" applyAlignment="1">
      <alignment/>
    </xf>
    <xf numFmtId="0" fontId="30" fillId="0" borderId="0" xfId="0" applyFont="1" applyBorder="1" applyAlignment="1">
      <alignment/>
    </xf>
    <xf numFmtId="43" fontId="32" fillId="0" borderId="0" xfId="0" applyNumberFormat="1" applyFont="1" applyAlignment="1">
      <alignment/>
    </xf>
    <xf numFmtId="194" fontId="23" fillId="0" borderId="0" xfId="36" applyFont="1" applyBorder="1" applyAlignment="1">
      <alignment/>
    </xf>
    <xf numFmtId="0" fontId="25" fillId="0" borderId="17" xfId="0" applyFont="1" applyBorder="1" applyAlignment="1">
      <alignment/>
    </xf>
    <xf numFmtId="43" fontId="18" fillId="0" borderId="0" xfId="0" applyNumberFormat="1" applyFont="1" applyBorder="1" applyAlignment="1">
      <alignment/>
    </xf>
    <xf numFmtId="194" fontId="17" fillId="0" borderId="49" xfId="36" applyFont="1" applyBorder="1" applyAlignment="1">
      <alignment/>
    </xf>
    <xf numFmtId="0" fontId="75" fillId="0" borderId="0" xfId="0" applyFont="1" applyBorder="1" applyAlignment="1">
      <alignment/>
    </xf>
    <xf numFmtId="194" fontId="75" fillId="0" borderId="0" xfId="36" applyFont="1" applyBorder="1" applyAlignment="1">
      <alignment/>
    </xf>
    <xf numFmtId="0" fontId="76" fillId="0" borderId="0" xfId="0" applyFont="1" applyBorder="1" applyAlignment="1">
      <alignment/>
    </xf>
    <xf numFmtId="194" fontId="76" fillId="0" borderId="0" xfId="36" applyFont="1" applyBorder="1" applyAlignment="1">
      <alignment/>
    </xf>
    <xf numFmtId="0" fontId="77" fillId="0" borderId="0" xfId="0" applyFont="1" applyBorder="1" applyAlignment="1">
      <alignment/>
    </xf>
    <xf numFmtId="0" fontId="75" fillId="0" borderId="0" xfId="0" applyFont="1" applyAlignment="1">
      <alignment/>
    </xf>
    <xf numFmtId="194" fontId="75" fillId="0" borderId="0" xfId="36" applyFont="1" applyAlignment="1">
      <alignment/>
    </xf>
    <xf numFmtId="194" fontId="17" fillId="0" borderId="0" xfId="36" applyFont="1" applyAlignment="1">
      <alignment horizontal="center"/>
    </xf>
    <xf numFmtId="0" fontId="17" fillId="0" borderId="36" xfId="0" applyFont="1" applyBorder="1" applyAlignment="1">
      <alignment horizontal="center"/>
    </xf>
    <xf numFmtId="43" fontId="0" fillId="0" borderId="0" xfId="0" applyNumberFormat="1" applyAlignment="1">
      <alignment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94" fontId="24" fillId="0" borderId="12" xfId="36" applyFont="1" applyBorder="1" applyAlignment="1">
      <alignment horizontal="center" vertical="center"/>
    </xf>
    <xf numFmtId="194" fontId="24" fillId="0" borderId="13" xfId="36" applyFont="1" applyBorder="1" applyAlignment="1">
      <alignment horizontal="center" vertical="center"/>
    </xf>
    <xf numFmtId="194" fontId="6" fillId="0" borderId="12" xfId="36" applyFont="1" applyBorder="1" applyAlignment="1">
      <alignment horizontal="center" vertical="center"/>
    </xf>
    <xf numFmtId="194" fontId="6" fillId="0" borderId="13" xfId="36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47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41</xdr:row>
      <xdr:rowOff>85725</xdr:rowOff>
    </xdr:from>
    <xdr:to>
      <xdr:col>1</xdr:col>
      <xdr:colOff>1504950</xdr:colOff>
      <xdr:row>44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8705850"/>
          <a:ext cx="1800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(นางสาวขวัญจิต   นิฤมล)
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หัวหน้าส่วนการคลัง</a:t>
          </a:r>
        </a:p>
      </xdr:txBody>
    </xdr:sp>
    <xdr:clientData/>
  </xdr:twoCellAnchor>
  <xdr:twoCellAnchor>
    <xdr:from>
      <xdr:col>1</xdr:col>
      <xdr:colOff>1562100</xdr:colOff>
      <xdr:row>41</xdr:row>
      <xdr:rowOff>95250</xdr:rowOff>
    </xdr:from>
    <xdr:to>
      <xdr:col>3</xdr:col>
      <xdr:colOff>9525</xdr:colOff>
      <xdr:row>44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76425" y="8715375"/>
          <a:ext cx="20478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(นายวีระเดช  นาคจะโป๊ะ)
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ปลัดองค์การบริหารส่วนตำบลขามสะแกแสง</a:t>
          </a:r>
        </a:p>
      </xdr:txBody>
    </xdr:sp>
    <xdr:clientData/>
  </xdr:twoCellAnchor>
  <xdr:twoCellAnchor>
    <xdr:from>
      <xdr:col>3</xdr:col>
      <xdr:colOff>57150</xdr:colOff>
      <xdr:row>41</xdr:row>
      <xdr:rowOff>104775</xdr:rowOff>
    </xdr:from>
    <xdr:to>
      <xdr:col>5</xdr:col>
      <xdr:colOff>847725</xdr:colOff>
      <xdr:row>44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71925" y="8724900"/>
          <a:ext cx="20478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(นางดอกไม้  พากลาง)
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นายกองค์การบริหารส่วนตำบลขามสะแกแสง</a:t>
          </a:r>
        </a:p>
      </xdr:txBody>
    </xdr:sp>
    <xdr:clientData/>
  </xdr:twoCellAnchor>
  <xdr:twoCellAnchor>
    <xdr:from>
      <xdr:col>0</xdr:col>
      <xdr:colOff>19050</xdr:colOff>
      <xdr:row>49</xdr:row>
      <xdr:rowOff>0</xdr:rowOff>
    </xdr:from>
    <xdr:to>
      <xdr:col>1</xdr:col>
      <xdr:colOff>1504950</xdr:colOff>
      <xdr:row>49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050" y="10077450"/>
          <a:ext cx="1800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(นางสาวขวัญจิต   นิฤมล)
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หัวหน้าส่วนการคลัง</a:t>
          </a:r>
        </a:p>
      </xdr:txBody>
    </xdr:sp>
    <xdr:clientData/>
  </xdr:twoCellAnchor>
  <xdr:twoCellAnchor>
    <xdr:from>
      <xdr:col>1</xdr:col>
      <xdr:colOff>1562100</xdr:colOff>
      <xdr:row>49</xdr:row>
      <xdr:rowOff>0</xdr:rowOff>
    </xdr:from>
    <xdr:to>
      <xdr:col>3</xdr:col>
      <xdr:colOff>9525</xdr:colOff>
      <xdr:row>49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876425" y="10077450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(นายวีระเดช  นาคจะโป๊ะ)
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ปลัดองค์การบริหารส่วนตำบลขามสะแกแสง</a:t>
          </a:r>
        </a:p>
      </xdr:txBody>
    </xdr:sp>
    <xdr:clientData/>
  </xdr:twoCellAnchor>
  <xdr:twoCellAnchor>
    <xdr:from>
      <xdr:col>3</xdr:col>
      <xdr:colOff>57150</xdr:colOff>
      <xdr:row>49</xdr:row>
      <xdr:rowOff>0</xdr:rowOff>
    </xdr:from>
    <xdr:to>
      <xdr:col>5</xdr:col>
      <xdr:colOff>847725</xdr:colOff>
      <xdr:row>49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971925" y="10077450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(นางดอกไม้  พากลาง)
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นายกองค์การบริหารส่วนตำบลขามสะแกแสง</a:t>
          </a:r>
        </a:p>
      </xdr:txBody>
    </xdr:sp>
    <xdr:clientData/>
  </xdr:twoCellAnchor>
  <xdr:twoCellAnchor>
    <xdr:from>
      <xdr:col>0</xdr:col>
      <xdr:colOff>19050</xdr:colOff>
      <xdr:row>88</xdr:row>
      <xdr:rowOff>85725</xdr:rowOff>
    </xdr:from>
    <xdr:to>
      <xdr:col>1</xdr:col>
      <xdr:colOff>1504950</xdr:colOff>
      <xdr:row>91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9050" y="19107150"/>
          <a:ext cx="18002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(นางสาวขวัญจิต   นิฤมล)
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หัวหน้าส่วนการคลัง</a:t>
          </a:r>
        </a:p>
      </xdr:txBody>
    </xdr:sp>
    <xdr:clientData/>
  </xdr:twoCellAnchor>
  <xdr:twoCellAnchor>
    <xdr:from>
      <xdr:col>1</xdr:col>
      <xdr:colOff>1562100</xdr:colOff>
      <xdr:row>88</xdr:row>
      <xdr:rowOff>95250</xdr:rowOff>
    </xdr:from>
    <xdr:to>
      <xdr:col>3</xdr:col>
      <xdr:colOff>9525</xdr:colOff>
      <xdr:row>91</xdr:row>
      <xdr:rowOff>190500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876425" y="19116675"/>
          <a:ext cx="20478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(นายวีระเดช  นาคจะโป๊ะ)
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ปลัดองค์การบริหารส่วนตำบลขามสะแกแสง</a:t>
          </a:r>
        </a:p>
      </xdr:txBody>
    </xdr:sp>
    <xdr:clientData/>
  </xdr:twoCellAnchor>
  <xdr:twoCellAnchor>
    <xdr:from>
      <xdr:col>3</xdr:col>
      <xdr:colOff>57150</xdr:colOff>
      <xdr:row>88</xdr:row>
      <xdr:rowOff>104775</xdr:rowOff>
    </xdr:from>
    <xdr:to>
      <xdr:col>5</xdr:col>
      <xdr:colOff>847725</xdr:colOff>
      <xdr:row>91</xdr:row>
      <xdr:rowOff>200025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971925" y="19126200"/>
          <a:ext cx="20478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(นางดอกไม้  พากลาง)
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นายกองค์การบริหารส่วนตำบลขามสะแกแสง</a:t>
          </a:r>
        </a:p>
      </xdr:txBody>
    </xdr:sp>
    <xdr:clientData/>
  </xdr:twoCellAnchor>
  <xdr:twoCellAnchor>
    <xdr:from>
      <xdr:col>0</xdr:col>
      <xdr:colOff>19050</xdr:colOff>
      <xdr:row>135</xdr:row>
      <xdr:rowOff>171450</xdr:rowOff>
    </xdr:from>
    <xdr:to>
      <xdr:col>1</xdr:col>
      <xdr:colOff>1504950</xdr:colOff>
      <xdr:row>139</xdr:row>
      <xdr:rowOff>19050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19050" y="30556200"/>
          <a:ext cx="18002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(นางสาวขวัญจิต   นิฤมล)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หัวหน้าส่วนการคลัง</a:t>
          </a:r>
        </a:p>
      </xdr:txBody>
    </xdr:sp>
    <xdr:clientData/>
  </xdr:twoCellAnchor>
  <xdr:twoCellAnchor>
    <xdr:from>
      <xdr:col>1</xdr:col>
      <xdr:colOff>1562100</xdr:colOff>
      <xdr:row>135</xdr:row>
      <xdr:rowOff>171450</xdr:rowOff>
    </xdr:from>
    <xdr:to>
      <xdr:col>3</xdr:col>
      <xdr:colOff>9525</xdr:colOff>
      <xdr:row>139</xdr:row>
      <xdr:rowOff>9525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1876425" y="30556200"/>
          <a:ext cx="2047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(นายธนากร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หงษ์อินทร์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ปลัดองค์การบริหารส่วนตำบลขามสะแกแสง</a:t>
          </a:r>
        </a:p>
      </xdr:txBody>
    </xdr:sp>
    <xdr:clientData/>
  </xdr:twoCellAnchor>
  <xdr:twoCellAnchor>
    <xdr:from>
      <xdr:col>3</xdr:col>
      <xdr:colOff>57150</xdr:colOff>
      <xdr:row>135</xdr:row>
      <xdr:rowOff>171450</xdr:rowOff>
    </xdr:from>
    <xdr:to>
      <xdr:col>5</xdr:col>
      <xdr:colOff>847725</xdr:colOff>
      <xdr:row>139</xdr:row>
      <xdr:rowOff>19050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3971925" y="30556200"/>
          <a:ext cx="20478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(นางดอกไม้  พากลาง)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นายกองค์การบริหารส่วนตำบลขามสะแกแสง</a:t>
          </a:r>
        </a:p>
      </xdr:txBody>
    </xdr:sp>
    <xdr:clientData/>
  </xdr:twoCellAnchor>
  <xdr:twoCellAnchor>
    <xdr:from>
      <xdr:col>0</xdr:col>
      <xdr:colOff>0</xdr:colOff>
      <xdr:row>178</xdr:row>
      <xdr:rowOff>171450</xdr:rowOff>
    </xdr:from>
    <xdr:to>
      <xdr:col>1</xdr:col>
      <xdr:colOff>1485900</xdr:colOff>
      <xdr:row>182</xdr:row>
      <xdr:rowOff>19050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0" y="41157525"/>
          <a:ext cx="18002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(นางสาวขวัญจิต   นิฤมล)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ผู้อำนวยการกองคลัง</a:t>
          </a:r>
        </a:p>
      </xdr:txBody>
    </xdr:sp>
    <xdr:clientData/>
  </xdr:twoCellAnchor>
  <xdr:twoCellAnchor>
    <xdr:from>
      <xdr:col>1</xdr:col>
      <xdr:colOff>1447800</xdr:colOff>
      <xdr:row>178</xdr:row>
      <xdr:rowOff>180975</xdr:rowOff>
    </xdr:from>
    <xdr:to>
      <xdr:col>2</xdr:col>
      <xdr:colOff>866775</xdr:colOff>
      <xdr:row>182</xdr:row>
      <xdr:rowOff>28575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762125" y="41167050"/>
          <a:ext cx="20478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(นายธนากร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หงษ์อินทร์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ปลัดองค์การบริหารส่วนตำบลขามสะแกแสง</a:t>
          </a:r>
        </a:p>
      </xdr:txBody>
    </xdr:sp>
    <xdr:clientData/>
  </xdr:twoCellAnchor>
  <xdr:twoCellAnchor>
    <xdr:from>
      <xdr:col>2</xdr:col>
      <xdr:colOff>647700</xdr:colOff>
      <xdr:row>178</xdr:row>
      <xdr:rowOff>200025</xdr:rowOff>
    </xdr:from>
    <xdr:to>
      <xdr:col>6</xdr:col>
      <xdr:colOff>123825</xdr:colOff>
      <xdr:row>182</xdr:row>
      <xdr:rowOff>38100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3590925" y="41186100"/>
          <a:ext cx="26765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(นายธนากร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หงษ์อินทร์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ปลัดองค์การบริหารส่วนตำบล รักษาราชการแทน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นายกองค์การบริหารส่วนตำบลขามสะแกแสง</a:t>
          </a:r>
        </a:p>
      </xdr:txBody>
    </xdr:sp>
    <xdr:clientData/>
  </xdr:twoCellAnchor>
  <xdr:twoCellAnchor>
    <xdr:from>
      <xdr:col>0</xdr:col>
      <xdr:colOff>0</xdr:colOff>
      <xdr:row>221</xdr:row>
      <xdr:rowOff>171450</xdr:rowOff>
    </xdr:from>
    <xdr:to>
      <xdr:col>1</xdr:col>
      <xdr:colOff>1485900</xdr:colOff>
      <xdr:row>225</xdr:row>
      <xdr:rowOff>9525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0" y="51854100"/>
          <a:ext cx="18002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(นางสาวขวัญจิต   นิฤมล)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ผู้อำนวยการกองคลัง</a:t>
          </a:r>
        </a:p>
      </xdr:txBody>
    </xdr:sp>
    <xdr:clientData/>
  </xdr:twoCellAnchor>
  <xdr:twoCellAnchor>
    <xdr:from>
      <xdr:col>1</xdr:col>
      <xdr:colOff>1447800</xdr:colOff>
      <xdr:row>221</xdr:row>
      <xdr:rowOff>180975</xdr:rowOff>
    </xdr:from>
    <xdr:to>
      <xdr:col>2</xdr:col>
      <xdr:colOff>866775</xdr:colOff>
      <xdr:row>225</xdr:row>
      <xdr:rowOff>19050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1762125" y="51863625"/>
          <a:ext cx="20478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(นายธนากร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หงษ์อินทร์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ปลัดองค์การบริหารส่วนตำบลขามสะแกแสง</a:t>
          </a:r>
        </a:p>
      </xdr:txBody>
    </xdr:sp>
    <xdr:clientData/>
  </xdr:twoCellAnchor>
  <xdr:twoCellAnchor>
    <xdr:from>
      <xdr:col>2</xdr:col>
      <xdr:colOff>762000</xdr:colOff>
      <xdr:row>221</xdr:row>
      <xdr:rowOff>76200</xdr:rowOff>
    </xdr:from>
    <xdr:to>
      <xdr:col>6</xdr:col>
      <xdr:colOff>247650</xdr:colOff>
      <xdr:row>225</xdr:row>
      <xdr:rowOff>47625</xdr:rowOff>
    </xdr:to>
    <xdr:sp>
      <xdr:nvSpPr>
        <xdr:cNvPr id="18" name="Text Box 9"/>
        <xdr:cNvSpPr txBox="1">
          <a:spLocks noChangeArrowheads="1"/>
        </xdr:cNvSpPr>
      </xdr:nvSpPr>
      <xdr:spPr>
        <a:xfrm>
          <a:off x="3705225" y="51758850"/>
          <a:ext cx="26860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(นายธนากร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หงษ์อินทร์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ปลัดองค์การบริหารส่วนตำบล รักษาราชการแทน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นายกองค์การบริหารส่วนตำบลขามสะแกแสง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1</xdr:col>
      <xdr:colOff>609600</xdr:colOff>
      <xdr:row>7</xdr:row>
      <xdr:rowOff>0</xdr:rowOff>
    </xdr:to>
    <xdr:sp>
      <xdr:nvSpPr>
        <xdr:cNvPr id="1" name="Text Box 4835"/>
        <xdr:cNvSpPr txBox="1">
          <a:spLocks noChangeArrowheads="1"/>
        </xdr:cNvSpPr>
      </xdr:nvSpPr>
      <xdr:spPr>
        <a:xfrm>
          <a:off x="3495675" y="180975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090</a:t>
          </a:r>
        </a:p>
      </xdr:txBody>
    </xdr:sp>
    <xdr:clientData/>
  </xdr:twoCellAnchor>
  <xdr:twoCellAnchor>
    <xdr:from>
      <xdr:col>1</xdr:col>
      <xdr:colOff>28575</xdr:colOff>
      <xdr:row>21</xdr:row>
      <xdr:rowOff>19050</xdr:rowOff>
    </xdr:from>
    <xdr:to>
      <xdr:col>1</xdr:col>
      <xdr:colOff>609600</xdr:colOff>
      <xdr:row>22</xdr:row>
      <xdr:rowOff>0</xdr:rowOff>
    </xdr:to>
    <xdr:sp>
      <xdr:nvSpPr>
        <xdr:cNvPr id="2" name="Text Box 4836"/>
        <xdr:cNvSpPr txBox="1">
          <a:spLocks noChangeArrowheads="1"/>
        </xdr:cNvSpPr>
      </xdr:nvSpPr>
      <xdr:spPr>
        <a:xfrm>
          <a:off x="3495675" y="5295900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000</a:t>
          </a:r>
        </a:p>
      </xdr:txBody>
    </xdr:sp>
    <xdr:clientData/>
  </xdr:twoCellAnchor>
  <xdr:twoCellAnchor>
    <xdr:from>
      <xdr:col>0</xdr:col>
      <xdr:colOff>2066925</xdr:colOff>
      <xdr:row>34</xdr:row>
      <xdr:rowOff>0</xdr:rowOff>
    </xdr:from>
    <xdr:to>
      <xdr:col>1</xdr:col>
      <xdr:colOff>295275</xdr:colOff>
      <xdr:row>36</xdr:row>
      <xdr:rowOff>0</xdr:rowOff>
    </xdr:to>
    <xdr:sp>
      <xdr:nvSpPr>
        <xdr:cNvPr id="3" name="Text Box 4837"/>
        <xdr:cNvSpPr txBox="1">
          <a:spLocks noChangeArrowheads="1"/>
        </xdr:cNvSpPr>
      </xdr:nvSpPr>
      <xdr:spPr>
        <a:xfrm>
          <a:off x="2066925" y="8572500"/>
          <a:ext cx="1695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นางสาวขวัญจิต  นิฤมล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ผู้อำนวยการกองคลัง</a:t>
          </a:r>
        </a:p>
      </xdr:txBody>
    </xdr:sp>
    <xdr:clientData/>
  </xdr:twoCellAnchor>
  <xdr:twoCellAnchor>
    <xdr:from>
      <xdr:col>0</xdr:col>
      <xdr:colOff>1000125</xdr:colOff>
      <xdr:row>35</xdr:row>
      <xdr:rowOff>257175</xdr:rowOff>
    </xdr:from>
    <xdr:to>
      <xdr:col>0</xdr:col>
      <xdr:colOff>3276600</xdr:colOff>
      <xdr:row>41</xdr:row>
      <xdr:rowOff>57150</xdr:rowOff>
    </xdr:to>
    <xdr:sp>
      <xdr:nvSpPr>
        <xdr:cNvPr id="4" name="Text Box 4838"/>
        <xdr:cNvSpPr txBox="1">
          <a:spLocks noChangeArrowheads="1"/>
        </xdr:cNvSpPr>
      </xdr:nvSpPr>
      <xdr:spPr>
        <a:xfrm>
          <a:off x="1000125" y="9096375"/>
          <a:ext cx="227647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ตรวจถูกต้องแล้ว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(นายธนากร  หงษ์อินทร์)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ปลัดองค์การบริหารส่วนตำบลขามสะแกแสง
</a:t>
          </a:r>
        </a:p>
      </xdr:txBody>
    </xdr:sp>
    <xdr:clientData/>
  </xdr:twoCellAnchor>
  <xdr:twoCellAnchor>
    <xdr:from>
      <xdr:col>1</xdr:col>
      <xdr:colOff>381000</xdr:colOff>
      <xdr:row>35</xdr:row>
      <xdr:rowOff>219075</xdr:rowOff>
    </xdr:from>
    <xdr:to>
      <xdr:col>4</xdr:col>
      <xdr:colOff>0</xdr:colOff>
      <xdr:row>41</xdr:row>
      <xdr:rowOff>104775</xdr:rowOff>
    </xdr:to>
    <xdr:sp>
      <xdr:nvSpPr>
        <xdr:cNvPr id="5" name="Text Box 4839"/>
        <xdr:cNvSpPr txBox="1">
          <a:spLocks noChangeArrowheads="1"/>
        </xdr:cNvSpPr>
      </xdr:nvSpPr>
      <xdr:spPr>
        <a:xfrm>
          <a:off x="3848100" y="9058275"/>
          <a:ext cx="269557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ทราบ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(นายธนากร  หงษ์อินทร์)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ปลัดองค์การบริหารส่วนตำบล  รักษาราชการแทน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นายกองค์การบริหารส่วนตำบลขามสะแกแสง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1</xdr:col>
      <xdr:colOff>609600</xdr:colOff>
      <xdr:row>7</xdr:row>
      <xdr:rowOff>0</xdr:rowOff>
    </xdr:to>
    <xdr:sp>
      <xdr:nvSpPr>
        <xdr:cNvPr id="6" name="Text Box 4841"/>
        <xdr:cNvSpPr txBox="1">
          <a:spLocks noChangeArrowheads="1"/>
        </xdr:cNvSpPr>
      </xdr:nvSpPr>
      <xdr:spPr>
        <a:xfrm>
          <a:off x="3495675" y="180975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1</xdr:col>
      <xdr:colOff>609600</xdr:colOff>
      <xdr:row>7</xdr:row>
      <xdr:rowOff>0</xdr:rowOff>
    </xdr:to>
    <xdr:sp>
      <xdr:nvSpPr>
        <xdr:cNvPr id="7" name="Text Box 4756"/>
        <xdr:cNvSpPr txBox="1">
          <a:spLocks noChangeArrowheads="1"/>
        </xdr:cNvSpPr>
      </xdr:nvSpPr>
      <xdr:spPr>
        <a:xfrm>
          <a:off x="3495675" y="180975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090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1</xdr:col>
      <xdr:colOff>609600</xdr:colOff>
      <xdr:row>7</xdr:row>
      <xdr:rowOff>0</xdr:rowOff>
    </xdr:to>
    <xdr:sp>
      <xdr:nvSpPr>
        <xdr:cNvPr id="8" name="Text Box 4762"/>
        <xdr:cNvSpPr txBox="1">
          <a:spLocks noChangeArrowheads="1"/>
        </xdr:cNvSpPr>
      </xdr:nvSpPr>
      <xdr:spPr>
        <a:xfrm>
          <a:off x="3495675" y="180975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1</xdr:col>
      <xdr:colOff>609600</xdr:colOff>
      <xdr:row>7</xdr:row>
      <xdr:rowOff>0</xdr:rowOff>
    </xdr:to>
    <xdr:sp>
      <xdr:nvSpPr>
        <xdr:cNvPr id="9" name="Text Box 4745"/>
        <xdr:cNvSpPr txBox="1">
          <a:spLocks noChangeArrowheads="1"/>
        </xdr:cNvSpPr>
      </xdr:nvSpPr>
      <xdr:spPr>
        <a:xfrm>
          <a:off x="3495675" y="180975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090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1</xdr:col>
      <xdr:colOff>609600</xdr:colOff>
      <xdr:row>7</xdr:row>
      <xdr:rowOff>0</xdr:rowOff>
    </xdr:to>
    <xdr:sp>
      <xdr:nvSpPr>
        <xdr:cNvPr id="10" name="Text Box 4751"/>
        <xdr:cNvSpPr txBox="1">
          <a:spLocks noChangeArrowheads="1"/>
        </xdr:cNvSpPr>
      </xdr:nvSpPr>
      <xdr:spPr>
        <a:xfrm>
          <a:off x="3495675" y="180975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1</xdr:col>
      <xdr:colOff>609600</xdr:colOff>
      <xdr:row>7</xdr:row>
      <xdr:rowOff>0</xdr:rowOff>
    </xdr:to>
    <xdr:sp>
      <xdr:nvSpPr>
        <xdr:cNvPr id="11" name="Text Box 4756"/>
        <xdr:cNvSpPr txBox="1">
          <a:spLocks noChangeArrowheads="1"/>
        </xdr:cNvSpPr>
      </xdr:nvSpPr>
      <xdr:spPr>
        <a:xfrm>
          <a:off x="3495675" y="180975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090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1</xdr:col>
      <xdr:colOff>609600</xdr:colOff>
      <xdr:row>7</xdr:row>
      <xdr:rowOff>0</xdr:rowOff>
    </xdr:to>
    <xdr:sp>
      <xdr:nvSpPr>
        <xdr:cNvPr id="12" name="Text Box 4762"/>
        <xdr:cNvSpPr txBox="1">
          <a:spLocks noChangeArrowheads="1"/>
        </xdr:cNvSpPr>
      </xdr:nvSpPr>
      <xdr:spPr>
        <a:xfrm>
          <a:off x="3495675" y="180975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1</xdr:col>
      <xdr:colOff>609600</xdr:colOff>
      <xdr:row>7</xdr:row>
      <xdr:rowOff>0</xdr:rowOff>
    </xdr:to>
    <xdr:sp>
      <xdr:nvSpPr>
        <xdr:cNvPr id="13" name="Text Box 4745"/>
        <xdr:cNvSpPr txBox="1">
          <a:spLocks noChangeArrowheads="1"/>
        </xdr:cNvSpPr>
      </xdr:nvSpPr>
      <xdr:spPr>
        <a:xfrm>
          <a:off x="3495675" y="180975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090</a:t>
          </a:r>
        </a:p>
      </xdr:txBody>
    </xdr:sp>
    <xdr:clientData/>
  </xdr:twoCellAnchor>
  <xdr:twoCellAnchor>
    <xdr:from>
      <xdr:col>1</xdr:col>
      <xdr:colOff>28575</xdr:colOff>
      <xdr:row>4</xdr:row>
      <xdr:rowOff>66675</xdr:rowOff>
    </xdr:from>
    <xdr:to>
      <xdr:col>1</xdr:col>
      <xdr:colOff>609600</xdr:colOff>
      <xdr:row>5</xdr:row>
      <xdr:rowOff>47625</xdr:rowOff>
    </xdr:to>
    <xdr:sp>
      <xdr:nvSpPr>
        <xdr:cNvPr id="14" name="Text Box 4750"/>
        <xdr:cNvSpPr txBox="1">
          <a:spLocks noChangeArrowheads="1"/>
        </xdr:cNvSpPr>
      </xdr:nvSpPr>
      <xdr:spPr>
        <a:xfrm>
          <a:off x="3495675" y="113347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010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1</xdr:col>
      <xdr:colOff>609600</xdr:colOff>
      <xdr:row>7</xdr:row>
      <xdr:rowOff>0</xdr:rowOff>
    </xdr:to>
    <xdr:sp>
      <xdr:nvSpPr>
        <xdr:cNvPr id="15" name="Text Box 4751"/>
        <xdr:cNvSpPr txBox="1">
          <a:spLocks noChangeArrowheads="1"/>
        </xdr:cNvSpPr>
      </xdr:nvSpPr>
      <xdr:spPr>
        <a:xfrm>
          <a:off x="3495675" y="180975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  <xdr:twoCellAnchor>
    <xdr:from>
      <xdr:col>1</xdr:col>
      <xdr:colOff>28575</xdr:colOff>
      <xdr:row>8</xdr:row>
      <xdr:rowOff>76200</xdr:rowOff>
    </xdr:from>
    <xdr:to>
      <xdr:col>1</xdr:col>
      <xdr:colOff>609600</xdr:colOff>
      <xdr:row>9</xdr:row>
      <xdr:rowOff>47625</xdr:rowOff>
    </xdr:to>
    <xdr:sp>
      <xdr:nvSpPr>
        <xdr:cNvPr id="16" name="Text Box 4752"/>
        <xdr:cNvSpPr txBox="1">
          <a:spLocks noChangeArrowheads="1"/>
        </xdr:cNvSpPr>
      </xdr:nvSpPr>
      <xdr:spPr>
        <a:xfrm>
          <a:off x="3495675" y="213360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090</a:t>
          </a:r>
        </a:p>
      </xdr:txBody>
    </xdr:sp>
    <xdr:clientData/>
  </xdr:twoCellAnchor>
  <xdr:twoCellAnchor>
    <xdr:from>
      <xdr:col>1</xdr:col>
      <xdr:colOff>28575</xdr:colOff>
      <xdr:row>5</xdr:row>
      <xdr:rowOff>66675</xdr:rowOff>
    </xdr:from>
    <xdr:to>
      <xdr:col>1</xdr:col>
      <xdr:colOff>609600</xdr:colOff>
      <xdr:row>6</xdr:row>
      <xdr:rowOff>47625</xdr:rowOff>
    </xdr:to>
    <xdr:sp>
      <xdr:nvSpPr>
        <xdr:cNvPr id="17" name="Text Box 4753"/>
        <xdr:cNvSpPr txBox="1">
          <a:spLocks noChangeArrowheads="1"/>
        </xdr:cNvSpPr>
      </xdr:nvSpPr>
      <xdr:spPr>
        <a:xfrm>
          <a:off x="3495675" y="138112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  <xdr:twoCellAnchor>
    <xdr:from>
      <xdr:col>1</xdr:col>
      <xdr:colOff>28575</xdr:colOff>
      <xdr:row>6</xdr:row>
      <xdr:rowOff>76200</xdr:rowOff>
    </xdr:from>
    <xdr:to>
      <xdr:col>1</xdr:col>
      <xdr:colOff>609600</xdr:colOff>
      <xdr:row>7</xdr:row>
      <xdr:rowOff>47625</xdr:rowOff>
    </xdr:to>
    <xdr:sp>
      <xdr:nvSpPr>
        <xdr:cNvPr id="18" name="Text Box 4754"/>
        <xdr:cNvSpPr txBox="1">
          <a:spLocks noChangeArrowheads="1"/>
        </xdr:cNvSpPr>
      </xdr:nvSpPr>
      <xdr:spPr>
        <a:xfrm>
          <a:off x="3495675" y="163830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  <xdr:twoCellAnchor>
    <xdr:from>
      <xdr:col>1</xdr:col>
      <xdr:colOff>28575</xdr:colOff>
      <xdr:row>7</xdr:row>
      <xdr:rowOff>76200</xdr:rowOff>
    </xdr:from>
    <xdr:to>
      <xdr:col>1</xdr:col>
      <xdr:colOff>609600</xdr:colOff>
      <xdr:row>8</xdr:row>
      <xdr:rowOff>47625</xdr:rowOff>
    </xdr:to>
    <xdr:sp>
      <xdr:nvSpPr>
        <xdr:cNvPr id="19" name="Text Box 4755"/>
        <xdr:cNvSpPr txBox="1">
          <a:spLocks noChangeArrowheads="1"/>
        </xdr:cNvSpPr>
      </xdr:nvSpPr>
      <xdr:spPr>
        <a:xfrm>
          <a:off x="3495675" y="188595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082</a:t>
          </a:r>
        </a:p>
      </xdr:txBody>
    </xdr:sp>
    <xdr:clientData/>
  </xdr:twoCellAnchor>
  <xdr:twoCellAnchor>
    <xdr:from>
      <xdr:col>1</xdr:col>
      <xdr:colOff>28575</xdr:colOff>
      <xdr:row>9</xdr:row>
      <xdr:rowOff>66675</xdr:rowOff>
    </xdr:from>
    <xdr:to>
      <xdr:col>1</xdr:col>
      <xdr:colOff>609600</xdr:colOff>
      <xdr:row>10</xdr:row>
      <xdr:rowOff>47625</xdr:rowOff>
    </xdr:to>
    <xdr:sp>
      <xdr:nvSpPr>
        <xdr:cNvPr id="20" name="Text Box 4752"/>
        <xdr:cNvSpPr txBox="1">
          <a:spLocks noChangeArrowheads="1"/>
        </xdr:cNvSpPr>
      </xdr:nvSpPr>
      <xdr:spPr>
        <a:xfrm>
          <a:off x="3495675" y="237172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092</a:t>
          </a:r>
        </a:p>
      </xdr:txBody>
    </xdr:sp>
    <xdr:clientData/>
  </xdr:twoCellAnchor>
  <xdr:twoCellAnchor>
    <xdr:from>
      <xdr:col>1</xdr:col>
      <xdr:colOff>28575</xdr:colOff>
      <xdr:row>48</xdr:row>
      <xdr:rowOff>0</xdr:rowOff>
    </xdr:from>
    <xdr:to>
      <xdr:col>1</xdr:col>
      <xdr:colOff>609600</xdr:colOff>
      <xdr:row>48</xdr:row>
      <xdr:rowOff>0</xdr:rowOff>
    </xdr:to>
    <xdr:sp>
      <xdr:nvSpPr>
        <xdr:cNvPr id="21" name="Text Box 4835"/>
        <xdr:cNvSpPr txBox="1">
          <a:spLocks noChangeArrowheads="1"/>
        </xdr:cNvSpPr>
      </xdr:nvSpPr>
      <xdr:spPr>
        <a:xfrm>
          <a:off x="3495675" y="123063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090</a:t>
          </a:r>
        </a:p>
      </xdr:txBody>
    </xdr:sp>
    <xdr:clientData/>
  </xdr:twoCellAnchor>
  <xdr:twoCellAnchor>
    <xdr:from>
      <xdr:col>1</xdr:col>
      <xdr:colOff>28575</xdr:colOff>
      <xdr:row>62</xdr:row>
      <xdr:rowOff>19050</xdr:rowOff>
    </xdr:from>
    <xdr:to>
      <xdr:col>1</xdr:col>
      <xdr:colOff>609600</xdr:colOff>
      <xdr:row>63</xdr:row>
      <xdr:rowOff>0</xdr:rowOff>
    </xdr:to>
    <xdr:sp>
      <xdr:nvSpPr>
        <xdr:cNvPr id="22" name="Text Box 4836"/>
        <xdr:cNvSpPr txBox="1">
          <a:spLocks noChangeArrowheads="1"/>
        </xdr:cNvSpPr>
      </xdr:nvSpPr>
      <xdr:spPr>
        <a:xfrm>
          <a:off x="3495675" y="16059150"/>
          <a:ext cx="581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000</a:t>
          </a:r>
        </a:p>
      </xdr:txBody>
    </xdr:sp>
    <xdr:clientData/>
  </xdr:twoCellAnchor>
  <xdr:twoCellAnchor>
    <xdr:from>
      <xdr:col>0</xdr:col>
      <xdr:colOff>2066925</xdr:colOff>
      <xdr:row>75</xdr:row>
      <xdr:rowOff>0</xdr:rowOff>
    </xdr:from>
    <xdr:to>
      <xdr:col>1</xdr:col>
      <xdr:colOff>295275</xdr:colOff>
      <xdr:row>77</xdr:row>
      <xdr:rowOff>0</xdr:rowOff>
    </xdr:to>
    <xdr:sp>
      <xdr:nvSpPr>
        <xdr:cNvPr id="23" name="Text Box 4837"/>
        <xdr:cNvSpPr txBox="1">
          <a:spLocks noChangeArrowheads="1"/>
        </xdr:cNvSpPr>
      </xdr:nvSpPr>
      <xdr:spPr>
        <a:xfrm>
          <a:off x="2066925" y="19507200"/>
          <a:ext cx="1695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นางสาวขวัญจิต  นิฤมล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ผู้อำนวยการกองคลัง</a:t>
          </a:r>
        </a:p>
      </xdr:txBody>
    </xdr:sp>
    <xdr:clientData/>
  </xdr:twoCellAnchor>
  <xdr:twoCellAnchor>
    <xdr:from>
      <xdr:col>0</xdr:col>
      <xdr:colOff>1000125</xdr:colOff>
      <xdr:row>76</xdr:row>
      <xdr:rowOff>257175</xdr:rowOff>
    </xdr:from>
    <xdr:to>
      <xdr:col>0</xdr:col>
      <xdr:colOff>3276600</xdr:colOff>
      <xdr:row>82</xdr:row>
      <xdr:rowOff>57150</xdr:rowOff>
    </xdr:to>
    <xdr:sp>
      <xdr:nvSpPr>
        <xdr:cNvPr id="24" name="Text Box 4838"/>
        <xdr:cNvSpPr txBox="1">
          <a:spLocks noChangeArrowheads="1"/>
        </xdr:cNvSpPr>
      </xdr:nvSpPr>
      <xdr:spPr>
        <a:xfrm>
          <a:off x="1000125" y="20031075"/>
          <a:ext cx="227647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ตรวจถูกต้องแล้ว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(นายธนากร  หงษ์อินทร์)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ปลัดองค์การบริหารส่วนตำบลขามสะแกแสง
</a:t>
          </a:r>
        </a:p>
      </xdr:txBody>
    </xdr:sp>
    <xdr:clientData/>
  </xdr:twoCellAnchor>
  <xdr:twoCellAnchor>
    <xdr:from>
      <xdr:col>1</xdr:col>
      <xdr:colOff>381000</xdr:colOff>
      <xdr:row>76</xdr:row>
      <xdr:rowOff>219075</xdr:rowOff>
    </xdr:from>
    <xdr:to>
      <xdr:col>4</xdr:col>
      <xdr:colOff>0</xdr:colOff>
      <xdr:row>82</xdr:row>
      <xdr:rowOff>114300</xdr:rowOff>
    </xdr:to>
    <xdr:sp>
      <xdr:nvSpPr>
        <xdr:cNvPr id="25" name="Text Box 4839"/>
        <xdr:cNvSpPr txBox="1">
          <a:spLocks noChangeArrowheads="1"/>
        </xdr:cNvSpPr>
      </xdr:nvSpPr>
      <xdr:spPr>
        <a:xfrm>
          <a:off x="3848100" y="19992975"/>
          <a:ext cx="26955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ทราบ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(นายธนากร  หงษ์อินทร์)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ปลัดองค์การบริหารส่วนตำบล  รักษาราชการแทน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นายกองค์การบริหารส่วนตำบลขามสะแกแสง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28575</xdr:colOff>
      <xdr:row>48</xdr:row>
      <xdr:rowOff>0</xdr:rowOff>
    </xdr:from>
    <xdr:to>
      <xdr:col>1</xdr:col>
      <xdr:colOff>609600</xdr:colOff>
      <xdr:row>48</xdr:row>
      <xdr:rowOff>0</xdr:rowOff>
    </xdr:to>
    <xdr:sp>
      <xdr:nvSpPr>
        <xdr:cNvPr id="26" name="Text Box 4841"/>
        <xdr:cNvSpPr txBox="1">
          <a:spLocks noChangeArrowheads="1"/>
        </xdr:cNvSpPr>
      </xdr:nvSpPr>
      <xdr:spPr>
        <a:xfrm>
          <a:off x="3495675" y="123063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  <xdr:twoCellAnchor>
    <xdr:from>
      <xdr:col>1</xdr:col>
      <xdr:colOff>28575</xdr:colOff>
      <xdr:row>48</xdr:row>
      <xdr:rowOff>0</xdr:rowOff>
    </xdr:from>
    <xdr:to>
      <xdr:col>1</xdr:col>
      <xdr:colOff>609600</xdr:colOff>
      <xdr:row>48</xdr:row>
      <xdr:rowOff>0</xdr:rowOff>
    </xdr:to>
    <xdr:sp>
      <xdr:nvSpPr>
        <xdr:cNvPr id="27" name="Text Box 4756"/>
        <xdr:cNvSpPr txBox="1">
          <a:spLocks noChangeArrowheads="1"/>
        </xdr:cNvSpPr>
      </xdr:nvSpPr>
      <xdr:spPr>
        <a:xfrm>
          <a:off x="3495675" y="123063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090</a:t>
          </a:r>
        </a:p>
      </xdr:txBody>
    </xdr:sp>
    <xdr:clientData/>
  </xdr:twoCellAnchor>
  <xdr:twoCellAnchor>
    <xdr:from>
      <xdr:col>1</xdr:col>
      <xdr:colOff>28575</xdr:colOff>
      <xdr:row>48</xdr:row>
      <xdr:rowOff>0</xdr:rowOff>
    </xdr:from>
    <xdr:to>
      <xdr:col>1</xdr:col>
      <xdr:colOff>609600</xdr:colOff>
      <xdr:row>48</xdr:row>
      <xdr:rowOff>0</xdr:rowOff>
    </xdr:to>
    <xdr:sp>
      <xdr:nvSpPr>
        <xdr:cNvPr id="28" name="Text Box 4762"/>
        <xdr:cNvSpPr txBox="1">
          <a:spLocks noChangeArrowheads="1"/>
        </xdr:cNvSpPr>
      </xdr:nvSpPr>
      <xdr:spPr>
        <a:xfrm>
          <a:off x="3495675" y="123063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  <xdr:twoCellAnchor>
    <xdr:from>
      <xdr:col>1</xdr:col>
      <xdr:colOff>28575</xdr:colOff>
      <xdr:row>48</xdr:row>
      <xdr:rowOff>0</xdr:rowOff>
    </xdr:from>
    <xdr:to>
      <xdr:col>1</xdr:col>
      <xdr:colOff>609600</xdr:colOff>
      <xdr:row>48</xdr:row>
      <xdr:rowOff>0</xdr:rowOff>
    </xdr:to>
    <xdr:sp>
      <xdr:nvSpPr>
        <xdr:cNvPr id="29" name="Text Box 4745"/>
        <xdr:cNvSpPr txBox="1">
          <a:spLocks noChangeArrowheads="1"/>
        </xdr:cNvSpPr>
      </xdr:nvSpPr>
      <xdr:spPr>
        <a:xfrm>
          <a:off x="3495675" y="123063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090</a:t>
          </a:r>
        </a:p>
      </xdr:txBody>
    </xdr:sp>
    <xdr:clientData/>
  </xdr:twoCellAnchor>
  <xdr:twoCellAnchor>
    <xdr:from>
      <xdr:col>1</xdr:col>
      <xdr:colOff>28575</xdr:colOff>
      <xdr:row>48</xdr:row>
      <xdr:rowOff>0</xdr:rowOff>
    </xdr:from>
    <xdr:to>
      <xdr:col>1</xdr:col>
      <xdr:colOff>609600</xdr:colOff>
      <xdr:row>48</xdr:row>
      <xdr:rowOff>0</xdr:rowOff>
    </xdr:to>
    <xdr:sp>
      <xdr:nvSpPr>
        <xdr:cNvPr id="30" name="Text Box 4751"/>
        <xdr:cNvSpPr txBox="1">
          <a:spLocks noChangeArrowheads="1"/>
        </xdr:cNvSpPr>
      </xdr:nvSpPr>
      <xdr:spPr>
        <a:xfrm>
          <a:off x="3495675" y="123063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  <xdr:twoCellAnchor>
    <xdr:from>
      <xdr:col>1</xdr:col>
      <xdr:colOff>28575</xdr:colOff>
      <xdr:row>48</xdr:row>
      <xdr:rowOff>0</xdr:rowOff>
    </xdr:from>
    <xdr:to>
      <xdr:col>1</xdr:col>
      <xdr:colOff>609600</xdr:colOff>
      <xdr:row>48</xdr:row>
      <xdr:rowOff>0</xdr:rowOff>
    </xdr:to>
    <xdr:sp>
      <xdr:nvSpPr>
        <xdr:cNvPr id="31" name="Text Box 4756"/>
        <xdr:cNvSpPr txBox="1">
          <a:spLocks noChangeArrowheads="1"/>
        </xdr:cNvSpPr>
      </xdr:nvSpPr>
      <xdr:spPr>
        <a:xfrm>
          <a:off x="3495675" y="123063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090</a:t>
          </a:r>
        </a:p>
      </xdr:txBody>
    </xdr:sp>
    <xdr:clientData/>
  </xdr:twoCellAnchor>
  <xdr:twoCellAnchor>
    <xdr:from>
      <xdr:col>1</xdr:col>
      <xdr:colOff>28575</xdr:colOff>
      <xdr:row>48</xdr:row>
      <xdr:rowOff>0</xdr:rowOff>
    </xdr:from>
    <xdr:to>
      <xdr:col>1</xdr:col>
      <xdr:colOff>609600</xdr:colOff>
      <xdr:row>48</xdr:row>
      <xdr:rowOff>0</xdr:rowOff>
    </xdr:to>
    <xdr:sp>
      <xdr:nvSpPr>
        <xdr:cNvPr id="32" name="Text Box 4762"/>
        <xdr:cNvSpPr txBox="1">
          <a:spLocks noChangeArrowheads="1"/>
        </xdr:cNvSpPr>
      </xdr:nvSpPr>
      <xdr:spPr>
        <a:xfrm>
          <a:off x="3495675" y="123063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  <xdr:twoCellAnchor>
    <xdr:from>
      <xdr:col>1</xdr:col>
      <xdr:colOff>28575</xdr:colOff>
      <xdr:row>48</xdr:row>
      <xdr:rowOff>0</xdr:rowOff>
    </xdr:from>
    <xdr:to>
      <xdr:col>1</xdr:col>
      <xdr:colOff>609600</xdr:colOff>
      <xdr:row>48</xdr:row>
      <xdr:rowOff>0</xdr:rowOff>
    </xdr:to>
    <xdr:sp>
      <xdr:nvSpPr>
        <xdr:cNvPr id="33" name="Text Box 4745"/>
        <xdr:cNvSpPr txBox="1">
          <a:spLocks noChangeArrowheads="1"/>
        </xdr:cNvSpPr>
      </xdr:nvSpPr>
      <xdr:spPr>
        <a:xfrm>
          <a:off x="3495675" y="123063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090</a:t>
          </a:r>
        </a:p>
      </xdr:txBody>
    </xdr:sp>
    <xdr:clientData/>
  </xdr:twoCellAnchor>
  <xdr:twoCellAnchor>
    <xdr:from>
      <xdr:col>1</xdr:col>
      <xdr:colOff>28575</xdr:colOff>
      <xdr:row>45</xdr:row>
      <xdr:rowOff>57150</xdr:rowOff>
    </xdr:from>
    <xdr:to>
      <xdr:col>1</xdr:col>
      <xdr:colOff>609600</xdr:colOff>
      <xdr:row>46</xdr:row>
      <xdr:rowOff>57150</xdr:rowOff>
    </xdr:to>
    <xdr:sp>
      <xdr:nvSpPr>
        <xdr:cNvPr id="34" name="Text Box 4750"/>
        <xdr:cNvSpPr txBox="1">
          <a:spLocks noChangeArrowheads="1"/>
        </xdr:cNvSpPr>
      </xdr:nvSpPr>
      <xdr:spPr>
        <a:xfrm>
          <a:off x="3495675" y="11563350"/>
          <a:ext cx="581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010</a:t>
          </a:r>
        </a:p>
      </xdr:txBody>
    </xdr:sp>
    <xdr:clientData/>
  </xdr:twoCellAnchor>
  <xdr:twoCellAnchor>
    <xdr:from>
      <xdr:col>1</xdr:col>
      <xdr:colOff>28575</xdr:colOff>
      <xdr:row>48</xdr:row>
      <xdr:rowOff>0</xdr:rowOff>
    </xdr:from>
    <xdr:to>
      <xdr:col>1</xdr:col>
      <xdr:colOff>609600</xdr:colOff>
      <xdr:row>48</xdr:row>
      <xdr:rowOff>0</xdr:rowOff>
    </xdr:to>
    <xdr:sp>
      <xdr:nvSpPr>
        <xdr:cNvPr id="35" name="Text Box 4751"/>
        <xdr:cNvSpPr txBox="1">
          <a:spLocks noChangeArrowheads="1"/>
        </xdr:cNvSpPr>
      </xdr:nvSpPr>
      <xdr:spPr>
        <a:xfrm>
          <a:off x="3495675" y="123063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  <xdr:twoCellAnchor>
    <xdr:from>
      <xdr:col>1</xdr:col>
      <xdr:colOff>28575</xdr:colOff>
      <xdr:row>49</xdr:row>
      <xdr:rowOff>85725</xdr:rowOff>
    </xdr:from>
    <xdr:to>
      <xdr:col>1</xdr:col>
      <xdr:colOff>609600</xdr:colOff>
      <xdr:row>50</xdr:row>
      <xdr:rowOff>57150</xdr:rowOff>
    </xdr:to>
    <xdr:sp>
      <xdr:nvSpPr>
        <xdr:cNvPr id="36" name="Text Box 4752"/>
        <xdr:cNvSpPr txBox="1">
          <a:spLocks noChangeArrowheads="1"/>
        </xdr:cNvSpPr>
      </xdr:nvSpPr>
      <xdr:spPr>
        <a:xfrm>
          <a:off x="3495675" y="12658725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090</a:t>
          </a:r>
        </a:p>
      </xdr:txBody>
    </xdr:sp>
    <xdr:clientData/>
  </xdr:twoCellAnchor>
  <xdr:twoCellAnchor>
    <xdr:from>
      <xdr:col>1</xdr:col>
      <xdr:colOff>28575</xdr:colOff>
      <xdr:row>46</xdr:row>
      <xdr:rowOff>76200</xdr:rowOff>
    </xdr:from>
    <xdr:to>
      <xdr:col>1</xdr:col>
      <xdr:colOff>609600</xdr:colOff>
      <xdr:row>47</xdr:row>
      <xdr:rowOff>57150</xdr:rowOff>
    </xdr:to>
    <xdr:sp>
      <xdr:nvSpPr>
        <xdr:cNvPr id="37" name="Text Box 4753"/>
        <xdr:cNvSpPr txBox="1">
          <a:spLocks noChangeArrowheads="1"/>
        </xdr:cNvSpPr>
      </xdr:nvSpPr>
      <xdr:spPr>
        <a:xfrm>
          <a:off x="3495675" y="11849100"/>
          <a:ext cx="581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  <xdr:twoCellAnchor>
    <xdr:from>
      <xdr:col>1</xdr:col>
      <xdr:colOff>28575</xdr:colOff>
      <xdr:row>47</xdr:row>
      <xdr:rowOff>85725</xdr:rowOff>
    </xdr:from>
    <xdr:to>
      <xdr:col>1</xdr:col>
      <xdr:colOff>609600</xdr:colOff>
      <xdr:row>48</xdr:row>
      <xdr:rowOff>57150</xdr:rowOff>
    </xdr:to>
    <xdr:sp>
      <xdr:nvSpPr>
        <xdr:cNvPr id="38" name="Text Box 4754"/>
        <xdr:cNvSpPr txBox="1">
          <a:spLocks noChangeArrowheads="1"/>
        </xdr:cNvSpPr>
      </xdr:nvSpPr>
      <xdr:spPr>
        <a:xfrm>
          <a:off x="3495675" y="12125325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  <xdr:twoCellAnchor>
    <xdr:from>
      <xdr:col>1</xdr:col>
      <xdr:colOff>28575</xdr:colOff>
      <xdr:row>48</xdr:row>
      <xdr:rowOff>85725</xdr:rowOff>
    </xdr:from>
    <xdr:to>
      <xdr:col>1</xdr:col>
      <xdr:colOff>609600</xdr:colOff>
      <xdr:row>49</xdr:row>
      <xdr:rowOff>57150</xdr:rowOff>
    </xdr:to>
    <xdr:sp>
      <xdr:nvSpPr>
        <xdr:cNvPr id="39" name="Text Box 4755"/>
        <xdr:cNvSpPr txBox="1">
          <a:spLocks noChangeArrowheads="1"/>
        </xdr:cNvSpPr>
      </xdr:nvSpPr>
      <xdr:spPr>
        <a:xfrm>
          <a:off x="3495675" y="12392025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082</a:t>
          </a:r>
        </a:p>
      </xdr:txBody>
    </xdr:sp>
    <xdr:clientData/>
  </xdr:twoCellAnchor>
  <xdr:twoCellAnchor>
    <xdr:from>
      <xdr:col>1</xdr:col>
      <xdr:colOff>28575</xdr:colOff>
      <xdr:row>50</xdr:row>
      <xdr:rowOff>76200</xdr:rowOff>
    </xdr:from>
    <xdr:to>
      <xdr:col>1</xdr:col>
      <xdr:colOff>609600</xdr:colOff>
      <xdr:row>51</xdr:row>
      <xdr:rowOff>57150</xdr:rowOff>
    </xdr:to>
    <xdr:sp>
      <xdr:nvSpPr>
        <xdr:cNvPr id="40" name="Text Box 4752"/>
        <xdr:cNvSpPr txBox="1">
          <a:spLocks noChangeArrowheads="1"/>
        </xdr:cNvSpPr>
      </xdr:nvSpPr>
      <xdr:spPr>
        <a:xfrm>
          <a:off x="3495675" y="12915900"/>
          <a:ext cx="581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092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66675</xdr:rowOff>
    </xdr:from>
    <xdr:to>
      <xdr:col>2</xdr:col>
      <xdr:colOff>771525</xdr:colOff>
      <xdr:row>19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" y="4810125"/>
          <a:ext cx="24384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(นางสาวขวัญจิต  นิฤมล)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ผู้อำนวยการกองคลัง</a:t>
          </a:r>
        </a:p>
      </xdr:txBody>
    </xdr:sp>
    <xdr:clientData/>
  </xdr:twoCellAnchor>
  <xdr:twoCellAnchor>
    <xdr:from>
      <xdr:col>3</xdr:col>
      <xdr:colOff>66675</xdr:colOff>
      <xdr:row>15</xdr:row>
      <xdr:rowOff>152400</xdr:rowOff>
    </xdr:from>
    <xdr:to>
      <xdr:col>6</xdr:col>
      <xdr:colOff>57150</xdr:colOff>
      <xdr:row>19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90850" y="4600575"/>
          <a:ext cx="26574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(ลงชื่อ)............................................................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(นายธนากร  หงษ์อินทร์)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ปลัดองค์การบริหารส่วนตำบลขามสะแกแสง
</a:t>
          </a:r>
        </a:p>
      </xdr:txBody>
    </xdr:sp>
    <xdr:clientData/>
  </xdr:twoCellAnchor>
  <xdr:twoCellAnchor>
    <xdr:from>
      <xdr:col>6</xdr:col>
      <xdr:colOff>85725</xdr:colOff>
      <xdr:row>15</xdr:row>
      <xdr:rowOff>152400</xdr:rowOff>
    </xdr:from>
    <xdr:to>
      <xdr:col>8</xdr:col>
      <xdr:colOff>790575</xdr:colOff>
      <xdr:row>20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676900" y="4600575"/>
          <a:ext cx="28003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(ลงชื่อ)..........................................................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(นายธนากร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หงษอินทร์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ปลัดองค์การบริหารส่วนตำบล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รักษาราชการแทน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นายกองค์การบริหารส่วนตำบลขามสะแกแสง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57150</xdr:rowOff>
    </xdr:from>
    <xdr:to>
      <xdr:col>1</xdr:col>
      <xdr:colOff>85725</xdr:colOff>
      <xdr:row>25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5934075"/>
          <a:ext cx="29146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(นางสาวขวัญจิต  นิฤมล)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ผู้อำนวยการกองคลัง</a:t>
          </a:r>
        </a:p>
      </xdr:txBody>
    </xdr:sp>
    <xdr:clientData/>
  </xdr:twoCellAnchor>
  <xdr:twoCellAnchor>
    <xdr:from>
      <xdr:col>1</xdr:col>
      <xdr:colOff>342900</xdr:colOff>
      <xdr:row>21</xdr:row>
      <xdr:rowOff>28575</xdr:rowOff>
    </xdr:from>
    <xdr:to>
      <xdr:col>3</xdr:col>
      <xdr:colOff>809625</xdr:colOff>
      <xdr:row>26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28975" y="5638800"/>
          <a:ext cx="25241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(ลงชื่อ)..........................................................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(นายธนากร   หงษ์อินทร์)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ปลัดองค์การบริหารส่วนตำบลขามสะแกแสง
</a:t>
          </a:r>
        </a:p>
      </xdr:txBody>
    </xdr:sp>
    <xdr:clientData/>
  </xdr:twoCellAnchor>
  <xdr:twoCellAnchor>
    <xdr:from>
      <xdr:col>3</xdr:col>
      <xdr:colOff>847725</xdr:colOff>
      <xdr:row>21</xdr:row>
      <xdr:rowOff>28575</xdr:rowOff>
    </xdr:from>
    <xdr:to>
      <xdr:col>5</xdr:col>
      <xdr:colOff>838200</xdr:colOff>
      <xdr:row>26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91200" y="5638800"/>
          <a:ext cx="28003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(ลงชื่อ)..........................................................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(นายธนากร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หงษอินทร์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ปลัดองค์การบริหารส่วนตำบล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รักษาราชการแทน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นายกองค์การบริหารส่วนตำบลขามสะแกแสง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</xdr:row>
      <xdr:rowOff>0</xdr:rowOff>
    </xdr:from>
    <xdr:to>
      <xdr:col>1</xdr:col>
      <xdr:colOff>609600</xdr:colOff>
      <xdr:row>7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705225" y="19335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  <xdr:twoCellAnchor>
    <xdr:from>
      <xdr:col>1</xdr:col>
      <xdr:colOff>171450</xdr:colOff>
      <xdr:row>7</xdr:row>
      <xdr:rowOff>0</xdr:rowOff>
    </xdr:from>
    <xdr:to>
      <xdr:col>1</xdr:col>
      <xdr:colOff>609600</xdr:colOff>
      <xdr:row>7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705225" y="19335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  <xdr:twoCellAnchor>
    <xdr:from>
      <xdr:col>1</xdr:col>
      <xdr:colOff>171450</xdr:colOff>
      <xdr:row>7</xdr:row>
      <xdr:rowOff>0</xdr:rowOff>
    </xdr:from>
    <xdr:to>
      <xdr:col>1</xdr:col>
      <xdr:colOff>609600</xdr:colOff>
      <xdr:row>7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705225" y="19335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090</a:t>
          </a:r>
        </a:p>
      </xdr:txBody>
    </xdr:sp>
    <xdr:clientData/>
  </xdr:twoCellAnchor>
  <xdr:twoCellAnchor>
    <xdr:from>
      <xdr:col>1</xdr:col>
      <xdr:colOff>171450</xdr:colOff>
      <xdr:row>7</xdr:row>
      <xdr:rowOff>57150</xdr:rowOff>
    </xdr:from>
    <xdr:to>
      <xdr:col>1</xdr:col>
      <xdr:colOff>609600</xdr:colOff>
      <xdr:row>8</xdr:row>
      <xdr:rowOff>9525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705225" y="1990725"/>
          <a:ext cx="447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082</a:t>
          </a:r>
        </a:p>
      </xdr:txBody>
    </xdr:sp>
    <xdr:clientData/>
  </xdr:twoCellAnchor>
  <xdr:twoCellAnchor>
    <xdr:from>
      <xdr:col>1</xdr:col>
      <xdr:colOff>171450</xdr:colOff>
      <xdr:row>8</xdr:row>
      <xdr:rowOff>0</xdr:rowOff>
    </xdr:from>
    <xdr:to>
      <xdr:col>1</xdr:col>
      <xdr:colOff>609600</xdr:colOff>
      <xdr:row>8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705225" y="220980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000</a:t>
          </a:r>
        </a:p>
      </xdr:txBody>
    </xdr:sp>
    <xdr:clientData/>
  </xdr:twoCellAnchor>
  <xdr:twoCellAnchor>
    <xdr:from>
      <xdr:col>0</xdr:col>
      <xdr:colOff>0</xdr:colOff>
      <xdr:row>28</xdr:row>
      <xdr:rowOff>28575</xdr:rowOff>
    </xdr:from>
    <xdr:to>
      <xdr:col>0</xdr:col>
      <xdr:colOff>1828800</xdr:colOff>
      <xdr:row>31</xdr:row>
      <xdr:rowOff>85725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0" y="6962775"/>
          <a:ext cx="18288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(นางสาวขวัญจิต  นิฤมล)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ผู้อำนวยการกองคลัง</a:t>
          </a:r>
        </a:p>
      </xdr:txBody>
    </xdr:sp>
    <xdr:clientData/>
  </xdr:twoCellAnchor>
  <xdr:twoCellAnchor>
    <xdr:from>
      <xdr:col>0</xdr:col>
      <xdr:colOff>1857375</xdr:colOff>
      <xdr:row>27</xdr:row>
      <xdr:rowOff>19050</xdr:rowOff>
    </xdr:from>
    <xdr:to>
      <xdr:col>1</xdr:col>
      <xdr:colOff>704850</xdr:colOff>
      <xdr:row>32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857375" y="6791325"/>
          <a:ext cx="23812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(ลงชื่อ)....................................................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(นายธนากร  หงษ์อินทร์)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ปลัดองค์การบริหารส่วนตำบลขามสะแกแสง
</a:t>
          </a:r>
        </a:p>
      </xdr:txBody>
    </xdr:sp>
    <xdr:clientData/>
  </xdr:twoCellAnchor>
  <xdr:twoCellAnchor>
    <xdr:from>
      <xdr:col>1</xdr:col>
      <xdr:colOff>400050</xdr:colOff>
      <xdr:row>27</xdr:row>
      <xdr:rowOff>19050</xdr:rowOff>
    </xdr:from>
    <xdr:to>
      <xdr:col>3</xdr:col>
      <xdr:colOff>1038225</xdr:colOff>
      <xdr:row>32</xdr:row>
      <xdr:rowOff>28575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3933825" y="6791325"/>
          <a:ext cx="24193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(ลงชื่อ)..........................................................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(นายธนากร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หงษ์อินทร์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ปลัดองค์การบริหารส่วนตำบล  รักษาราชการแทน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นายกองค์การบริหารส่วนตำบลขามสะแกแสง
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704850</xdr:colOff>
      <xdr:row>6</xdr:row>
      <xdr:rowOff>0</xdr:rowOff>
    </xdr:to>
    <xdr:sp>
      <xdr:nvSpPr>
        <xdr:cNvPr id="9" name="Text Box 4835"/>
        <xdr:cNvSpPr txBox="1">
          <a:spLocks noChangeArrowheads="1"/>
        </xdr:cNvSpPr>
      </xdr:nvSpPr>
      <xdr:spPr>
        <a:xfrm>
          <a:off x="3562350" y="16573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090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704850</xdr:colOff>
      <xdr:row>6</xdr:row>
      <xdr:rowOff>0</xdr:rowOff>
    </xdr:to>
    <xdr:sp>
      <xdr:nvSpPr>
        <xdr:cNvPr id="10" name="Text Box 4841"/>
        <xdr:cNvSpPr txBox="1">
          <a:spLocks noChangeArrowheads="1"/>
        </xdr:cNvSpPr>
      </xdr:nvSpPr>
      <xdr:spPr>
        <a:xfrm>
          <a:off x="3562350" y="16573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  <xdr:twoCellAnchor>
    <xdr:from>
      <xdr:col>1</xdr:col>
      <xdr:colOff>47625</xdr:colOff>
      <xdr:row>4</xdr:row>
      <xdr:rowOff>57150</xdr:rowOff>
    </xdr:from>
    <xdr:to>
      <xdr:col>1</xdr:col>
      <xdr:colOff>723900</xdr:colOff>
      <xdr:row>5</xdr:row>
      <xdr:rowOff>28575</xdr:rowOff>
    </xdr:to>
    <xdr:sp>
      <xdr:nvSpPr>
        <xdr:cNvPr id="11" name="Text Box 4843"/>
        <xdr:cNvSpPr txBox="1">
          <a:spLocks noChangeArrowheads="1"/>
        </xdr:cNvSpPr>
      </xdr:nvSpPr>
      <xdr:spPr>
        <a:xfrm>
          <a:off x="3581400" y="1162050"/>
          <a:ext cx="676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  <xdr:twoCellAnchor>
    <xdr:from>
      <xdr:col>1</xdr:col>
      <xdr:colOff>47625</xdr:colOff>
      <xdr:row>5</xdr:row>
      <xdr:rowOff>66675</xdr:rowOff>
    </xdr:from>
    <xdr:to>
      <xdr:col>1</xdr:col>
      <xdr:colOff>723900</xdr:colOff>
      <xdr:row>6</xdr:row>
      <xdr:rowOff>47625</xdr:rowOff>
    </xdr:to>
    <xdr:sp>
      <xdr:nvSpPr>
        <xdr:cNvPr id="12" name="Text Box 4844"/>
        <xdr:cNvSpPr txBox="1">
          <a:spLocks noChangeArrowheads="1"/>
        </xdr:cNvSpPr>
      </xdr:nvSpPr>
      <xdr:spPr>
        <a:xfrm>
          <a:off x="3581400" y="1447800"/>
          <a:ext cx="676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  <xdr:twoCellAnchor>
    <xdr:from>
      <xdr:col>1</xdr:col>
      <xdr:colOff>47625</xdr:colOff>
      <xdr:row>6</xdr:row>
      <xdr:rowOff>66675</xdr:rowOff>
    </xdr:from>
    <xdr:to>
      <xdr:col>1</xdr:col>
      <xdr:colOff>723900</xdr:colOff>
      <xdr:row>7</xdr:row>
      <xdr:rowOff>47625</xdr:rowOff>
    </xdr:to>
    <xdr:sp>
      <xdr:nvSpPr>
        <xdr:cNvPr id="13" name="Text Box 4846"/>
        <xdr:cNvSpPr txBox="1">
          <a:spLocks noChangeArrowheads="1"/>
        </xdr:cNvSpPr>
      </xdr:nvSpPr>
      <xdr:spPr>
        <a:xfrm>
          <a:off x="3581400" y="1724025"/>
          <a:ext cx="676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ew\&#3619;&#3634;&#3618;&#3591;&#3634;&#3609;&#3585;&#3634;&#3619;&#3648;&#3591;&#3636;&#3609;\&#3619;&#3634;&#3618;&#3591;&#3634;&#3609;&#3626;&#3656;&#3591;&#3607;&#3640;&#3585;&#3626;&#3636;&#3657;&#3609;&#3648;&#3604;&#3639;&#3629;&#3609;\&#3591;&#3610;&#3619;&#3634;&#3618;&#3619;&#3633;&#3610;-&#3592;&#3656;&#3634;&#3618;%20&#3591;&#3611;&#3617;.255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1;&#3637;%20&#3591;&#3611;&#3617;.54\&#3619;&#3634;&#3618;&#3591;&#3634;&#3609;&#3585;&#3634;&#3619;&#3648;&#3591;&#3636;&#3609;\&#3619;&#3634;&#3618;&#3591;&#3634;&#3609;&#3626;&#3656;&#3591;&#3607;&#3640;&#3585;&#3626;&#3636;&#3657;&#3609;&#3648;&#3604;&#3639;&#3629;&#3609;\&#3591;&#3610;&#3619;&#3634;&#3618;&#3619;&#3633;&#3610;-&#3592;&#3656;&#3634;&#3618;%20&#3591;&#3611;&#3617;.255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619;&#3634;&#3618;&#3619;&#3633;&#3610;-&#3592;&#3656;&#3634;&#3618;%20&#3591;&#3611;&#3617;.2555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ทล."/>
      <sheetName val="งทล มห1 (2)"/>
      <sheetName val="งทล มห1"/>
      <sheetName val="งทล มห2"/>
      <sheetName val="รับ-จ่าย 54"/>
      <sheetName val="หมายเหตุ1"/>
      <sheetName val="หมายเหตุ2"/>
      <sheetName val="หมายเหตุ 4"/>
      <sheetName val="จ่าย2"/>
      <sheetName val="เงินนอกหมายเหตุ4"/>
    </sheetNames>
    <sheetDataSet>
      <sheetData sheetId="4">
        <row r="935">
          <cell r="B935">
            <v>886458</v>
          </cell>
        </row>
        <row r="936">
          <cell r="B936">
            <v>1817000</v>
          </cell>
        </row>
        <row r="937">
          <cell r="B937">
            <v>2619859</v>
          </cell>
        </row>
        <row r="938">
          <cell r="B938">
            <v>119520</v>
          </cell>
        </row>
        <row r="939">
          <cell r="B939">
            <v>995640</v>
          </cell>
        </row>
        <row r="940">
          <cell r="B940">
            <v>3060771.5</v>
          </cell>
        </row>
        <row r="941">
          <cell r="B941">
            <v>2476283.1999999997</v>
          </cell>
        </row>
        <row r="942">
          <cell r="B942">
            <v>0</v>
          </cell>
        </row>
        <row r="943">
          <cell r="B943">
            <v>702932.72</v>
          </cell>
        </row>
        <row r="944">
          <cell r="B944">
            <v>778877.28</v>
          </cell>
        </row>
        <row r="945">
          <cell r="B945">
            <v>142781.05000000002</v>
          </cell>
        </row>
        <row r="946">
          <cell r="B946">
            <v>86000</v>
          </cell>
        </row>
        <row r="947">
          <cell r="B947">
            <v>1391890</v>
          </cell>
        </row>
        <row r="948">
          <cell r="B948">
            <v>322470</v>
          </cell>
        </row>
        <row r="949">
          <cell r="B949">
            <v>52000</v>
          </cell>
        </row>
        <row r="951">
          <cell r="B951">
            <v>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งทล."/>
      <sheetName val="งทล มห1 (2)"/>
      <sheetName val="งทล มห1"/>
      <sheetName val="งทล มห2"/>
      <sheetName val="รับ-จ่าย 54"/>
      <sheetName val="หมายเหตุ1"/>
      <sheetName val="หมายเหตุ2"/>
      <sheetName val="หมายเหตุ 4"/>
      <sheetName val="จ่าย2"/>
      <sheetName val="เงินนอกหมายเหตุ4"/>
    </sheetNames>
    <sheetDataSet>
      <sheetData sheetId="4">
        <row r="950">
          <cell r="B950">
            <v>2113402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งทล."/>
      <sheetName val="งทล มห1 (2)"/>
      <sheetName val="งทล มห1"/>
      <sheetName val="งทล มห2"/>
      <sheetName val="รับ-จ่าย 54"/>
      <sheetName val="หมายเหตุ1"/>
      <sheetName val="หมายเหตุ2"/>
      <sheetName val="หมายเหตุ 4"/>
      <sheetName val="จ่าย2"/>
      <sheetName val="เงินนอกหมายเหตุ4"/>
    </sheetNames>
    <sheetDataSet>
      <sheetData sheetId="0">
        <row r="9">
          <cell r="D9">
            <v>4386949.66</v>
          </cell>
        </row>
      </sheetData>
      <sheetData sheetId="4">
        <row r="1023">
          <cell r="B1023">
            <v>442981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I12" sqref="I12"/>
    </sheetView>
  </sheetViews>
  <sheetFormatPr defaultColWidth="9.140625" defaultRowHeight="21.75" customHeight="1"/>
  <cols>
    <col min="1" max="1" width="4.421875" style="71" customWidth="1"/>
    <col min="2" max="2" width="5.00390625" style="71" customWidth="1"/>
    <col min="3" max="3" width="4.7109375" style="71" customWidth="1"/>
    <col min="4" max="4" width="42.421875" style="71" customWidth="1"/>
    <col min="5" max="5" width="14.421875" style="71" customWidth="1"/>
    <col min="6" max="6" width="16.57421875" style="75" customWidth="1"/>
    <col min="7" max="7" width="17.00390625" style="75" customWidth="1"/>
    <col min="8" max="8" width="16.00390625" style="75" customWidth="1"/>
    <col min="9" max="16384" width="9.140625" style="71" customWidth="1"/>
  </cols>
  <sheetData>
    <row r="1" spans="1:6" ht="21.75" customHeight="1">
      <c r="A1" s="208" t="s">
        <v>195</v>
      </c>
      <c r="B1" s="208"/>
      <c r="C1" s="208"/>
      <c r="D1" s="208"/>
      <c r="E1" s="208"/>
      <c r="F1" s="208"/>
    </row>
    <row r="2" spans="1:6" ht="21.75" customHeight="1">
      <c r="A2" s="208" t="s">
        <v>0</v>
      </c>
      <c r="B2" s="208"/>
      <c r="C2" s="208"/>
      <c r="D2" s="208"/>
      <c r="E2" s="208"/>
      <c r="F2" s="208"/>
    </row>
    <row r="4" spans="1:6" ht="21.75" customHeight="1">
      <c r="A4" s="205" t="s">
        <v>1</v>
      </c>
      <c r="B4" s="206"/>
      <c r="C4" s="206"/>
      <c r="D4" s="206"/>
      <c r="E4" s="207"/>
      <c r="F4" s="76" t="s">
        <v>17</v>
      </c>
    </row>
    <row r="5" spans="1:8" ht="21.75" customHeight="1" thickBot="1">
      <c r="A5" s="77" t="s">
        <v>2</v>
      </c>
      <c r="B5" s="78"/>
      <c r="C5" s="78"/>
      <c r="D5" s="78"/>
      <c r="E5" s="79" t="s">
        <v>15</v>
      </c>
      <c r="F5" s="80">
        <f>SUM(F6+F35)</f>
        <v>30201659.299999997</v>
      </c>
      <c r="G5" s="75">
        <f>SUM(19976684.24-3000-16000-197600)</f>
        <v>19760084.24</v>
      </c>
      <c r="H5" s="75">
        <f>SUM(G5-F5)</f>
        <v>-10441575.059999999</v>
      </c>
    </row>
    <row r="6" spans="1:8" ht="21.75" customHeight="1" thickTop="1">
      <c r="A6" s="77"/>
      <c r="B6" s="81" t="s">
        <v>3</v>
      </c>
      <c r="C6" s="78"/>
      <c r="D6" s="78"/>
      <c r="E6" s="79" t="s">
        <v>16</v>
      </c>
      <c r="F6" s="82">
        <f>SUM(F7)+F11+F21+F24+F25+F28</f>
        <v>509245.4</v>
      </c>
      <c r="G6" s="75">
        <f>SUM(F6+F36+F48)</f>
        <v>21230659.299999997</v>
      </c>
      <c r="H6" s="75">
        <f>SUM(F5-25063595.24)</f>
        <v>5138064.059999999</v>
      </c>
    </row>
    <row r="7" spans="1:6" ht="21.75" customHeight="1">
      <c r="A7" s="83"/>
      <c r="B7" s="78"/>
      <c r="C7" s="78" t="s">
        <v>4</v>
      </c>
      <c r="D7" s="78"/>
      <c r="E7" s="84"/>
      <c r="F7" s="85">
        <f>SUM(F8:F10)</f>
        <v>128136.02</v>
      </c>
    </row>
    <row r="8" spans="1:7" ht="21.75" customHeight="1">
      <c r="A8" s="86"/>
      <c r="B8" s="87"/>
      <c r="C8" s="87"/>
      <c r="D8" s="87" t="s">
        <v>5</v>
      </c>
      <c r="E8" s="88"/>
      <c r="F8" s="89">
        <v>83911.02</v>
      </c>
      <c r="G8" s="75">
        <f>SUM(G6-14219732.58)</f>
        <v>7010926.719999997</v>
      </c>
    </row>
    <row r="9" spans="1:6" ht="21.75" customHeight="1">
      <c r="A9" s="90"/>
      <c r="B9" s="91"/>
      <c r="C9" s="91"/>
      <c r="D9" s="91" t="s">
        <v>6</v>
      </c>
      <c r="E9" s="92"/>
      <c r="F9" s="93">
        <v>36237</v>
      </c>
    </row>
    <row r="10" spans="1:6" ht="21.75" customHeight="1">
      <c r="A10" s="90"/>
      <c r="B10" s="91"/>
      <c r="C10" s="91"/>
      <c r="D10" s="91" t="s">
        <v>7</v>
      </c>
      <c r="E10" s="92"/>
      <c r="F10" s="93">
        <v>7988</v>
      </c>
    </row>
    <row r="11" spans="1:6" ht="21.75" customHeight="1">
      <c r="A11" s="83"/>
      <c r="B11" s="78"/>
      <c r="C11" s="78" t="s">
        <v>8</v>
      </c>
      <c r="D11" s="78"/>
      <c r="E11" s="84"/>
      <c r="F11" s="85">
        <f>SUM(F12:F20)</f>
        <v>126223</v>
      </c>
    </row>
    <row r="12" spans="1:6" ht="21.75" customHeight="1">
      <c r="A12" s="90"/>
      <c r="B12" s="91"/>
      <c r="C12" s="91"/>
      <c r="D12" s="91" t="s">
        <v>149</v>
      </c>
      <c r="E12" s="92"/>
      <c r="F12" s="93">
        <v>2488</v>
      </c>
    </row>
    <row r="13" spans="1:6" ht="21.75" customHeight="1">
      <c r="A13" s="90"/>
      <c r="B13" s="91"/>
      <c r="C13" s="91"/>
      <c r="D13" s="91" t="s">
        <v>150</v>
      </c>
      <c r="E13" s="92"/>
      <c r="F13" s="93">
        <v>1060</v>
      </c>
    </row>
    <row r="14" spans="1:6" ht="21.75" customHeight="1">
      <c r="A14" s="90"/>
      <c r="B14" s="91"/>
      <c r="C14" s="91"/>
      <c r="D14" s="87" t="s">
        <v>151</v>
      </c>
      <c r="E14" s="92"/>
      <c r="F14" s="93">
        <v>500</v>
      </c>
    </row>
    <row r="15" spans="1:6" ht="21.75" customHeight="1">
      <c r="A15" s="90"/>
      <c r="B15" s="91"/>
      <c r="C15" s="91"/>
      <c r="D15" s="91" t="s">
        <v>152</v>
      </c>
      <c r="E15" s="92"/>
      <c r="F15" s="93">
        <v>1500</v>
      </c>
    </row>
    <row r="16" spans="1:6" ht="21.75" customHeight="1">
      <c r="A16" s="90"/>
      <c r="B16" s="91"/>
      <c r="C16" s="91"/>
      <c r="D16" s="91" t="s">
        <v>153</v>
      </c>
      <c r="E16" s="92"/>
      <c r="F16" s="93">
        <v>2580</v>
      </c>
    </row>
    <row r="17" spans="1:6" ht="21.75" customHeight="1">
      <c r="A17" s="90"/>
      <c r="B17" s="91"/>
      <c r="C17" s="91"/>
      <c r="D17" s="91" t="s">
        <v>165</v>
      </c>
      <c r="E17" s="92"/>
      <c r="F17" s="93">
        <v>500</v>
      </c>
    </row>
    <row r="18" spans="1:6" ht="21.75" customHeight="1">
      <c r="A18" s="90"/>
      <c r="B18" s="91"/>
      <c r="C18" s="91"/>
      <c r="D18" s="91" t="s">
        <v>154</v>
      </c>
      <c r="E18" s="92"/>
      <c r="F18" s="93">
        <v>115755</v>
      </c>
    </row>
    <row r="19" spans="1:6" ht="21.75" customHeight="1">
      <c r="A19" s="90"/>
      <c r="B19" s="91"/>
      <c r="C19" s="91"/>
      <c r="D19" s="91" t="s">
        <v>167</v>
      </c>
      <c r="E19" s="92"/>
      <c r="F19" s="93">
        <v>1200</v>
      </c>
    </row>
    <row r="20" spans="1:6" ht="21.75" customHeight="1">
      <c r="A20" s="94"/>
      <c r="B20" s="95"/>
      <c r="C20" s="95"/>
      <c r="D20" s="95" t="s">
        <v>168</v>
      </c>
      <c r="E20" s="96"/>
      <c r="F20" s="97">
        <v>640</v>
      </c>
    </row>
    <row r="21" spans="1:6" ht="21.75" customHeight="1">
      <c r="A21" s="83"/>
      <c r="B21" s="78"/>
      <c r="C21" s="78" t="s">
        <v>9</v>
      </c>
      <c r="D21" s="78"/>
      <c r="E21" s="84"/>
      <c r="F21" s="85">
        <f>SUM(F22:F23)</f>
        <v>190817.39</v>
      </c>
    </row>
    <row r="22" spans="1:6" ht="21.75" customHeight="1">
      <c r="A22" s="94"/>
      <c r="B22" s="95"/>
      <c r="C22" s="95"/>
      <c r="D22" s="95" t="s">
        <v>10</v>
      </c>
      <c r="E22" s="96"/>
      <c r="F22" s="97">
        <v>178817.39</v>
      </c>
    </row>
    <row r="23" spans="1:6" ht="21.75" customHeight="1">
      <c r="A23" s="94"/>
      <c r="B23" s="95"/>
      <c r="C23" s="95"/>
      <c r="D23" s="95" t="s">
        <v>166</v>
      </c>
      <c r="E23" s="96"/>
      <c r="F23" s="97">
        <v>12000</v>
      </c>
    </row>
    <row r="24" spans="1:6" ht="21.75" customHeight="1">
      <c r="A24" s="83"/>
      <c r="B24" s="78"/>
      <c r="C24" s="78" t="s">
        <v>11</v>
      </c>
      <c r="D24" s="78"/>
      <c r="E24" s="84"/>
      <c r="F24" s="98">
        <v>0</v>
      </c>
    </row>
    <row r="25" spans="1:6" ht="21.75" customHeight="1">
      <c r="A25" s="83"/>
      <c r="B25" s="78"/>
      <c r="C25" s="78" t="s">
        <v>12</v>
      </c>
      <c r="D25" s="78"/>
      <c r="E25" s="84"/>
      <c r="F25" s="85">
        <f>SUM(F26:F27)</f>
        <v>64068.99</v>
      </c>
    </row>
    <row r="26" spans="1:7" ht="21.75" customHeight="1">
      <c r="A26" s="86"/>
      <c r="B26" s="87"/>
      <c r="C26" s="87"/>
      <c r="D26" s="87" t="s">
        <v>13</v>
      </c>
      <c r="E26" s="88"/>
      <c r="F26" s="89">
        <v>23400</v>
      </c>
      <c r="G26" s="75">
        <v>118100</v>
      </c>
    </row>
    <row r="27" spans="1:6" ht="21.75" customHeight="1">
      <c r="A27" s="99"/>
      <c r="B27" s="100"/>
      <c r="C27" s="100"/>
      <c r="D27" s="100" t="s">
        <v>155</v>
      </c>
      <c r="E27" s="101"/>
      <c r="F27" s="102">
        <v>40668.99</v>
      </c>
    </row>
    <row r="28" spans="1:6" ht="21.75" customHeight="1">
      <c r="A28" s="83"/>
      <c r="B28" s="78"/>
      <c r="C28" s="78" t="s">
        <v>14</v>
      </c>
      <c r="D28" s="78"/>
      <c r="E28" s="84"/>
      <c r="F28" s="103">
        <v>0</v>
      </c>
    </row>
    <row r="29" spans="1:6" ht="21.75" customHeight="1">
      <c r="A29" s="114"/>
      <c r="B29" s="115"/>
      <c r="C29" s="115"/>
      <c r="D29" s="115"/>
      <c r="E29" s="116"/>
      <c r="F29" s="117"/>
    </row>
    <row r="30" spans="1:6" ht="21.75" customHeight="1">
      <c r="A30" s="90"/>
      <c r="B30" s="91"/>
      <c r="C30" s="91"/>
      <c r="D30" s="91"/>
      <c r="E30" s="92"/>
      <c r="F30" s="93"/>
    </row>
    <row r="31" spans="1:6" ht="21.75" customHeight="1">
      <c r="A31" s="90"/>
      <c r="B31" s="91"/>
      <c r="C31" s="91"/>
      <c r="D31" s="91"/>
      <c r="E31" s="92"/>
      <c r="F31" s="93"/>
    </row>
    <row r="32" spans="1:6" ht="21.75" customHeight="1">
      <c r="A32" s="209" t="s">
        <v>18</v>
      </c>
      <c r="B32" s="209"/>
      <c r="C32" s="209"/>
      <c r="D32" s="209"/>
      <c r="E32" s="209"/>
      <c r="F32" s="209"/>
    </row>
    <row r="33" spans="1:6" ht="21.75" customHeight="1">
      <c r="A33" s="110"/>
      <c r="B33" s="110"/>
      <c r="C33" s="110"/>
      <c r="D33" s="110"/>
      <c r="E33" s="110"/>
      <c r="F33" s="110"/>
    </row>
    <row r="34" spans="1:8" s="105" customFormat="1" ht="21.75" customHeight="1">
      <c r="A34" s="205" t="s">
        <v>1</v>
      </c>
      <c r="B34" s="206"/>
      <c r="C34" s="206"/>
      <c r="D34" s="206"/>
      <c r="E34" s="207"/>
      <c r="F34" s="76" t="s">
        <v>17</v>
      </c>
      <c r="G34" s="104"/>
      <c r="H34" s="104"/>
    </row>
    <row r="35" spans="1:8" s="105" customFormat="1" ht="21.75" customHeight="1">
      <c r="A35" s="77"/>
      <c r="B35" s="81" t="s">
        <v>19</v>
      </c>
      <c r="C35" s="81"/>
      <c r="D35" s="81"/>
      <c r="E35" s="79" t="s">
        <v>16</v>
      </c>
      <c r="F35" s="85">
        <f>SUM(F36+F46+F47+F48+F50)</f>
        <v>29692413.9</v>
      </c>
      <c r="G35" s="104"/>
      <c r="H35" s="104"/>
    </row>
    <row r="36" spans="1:6" ht="21.75" customHeight="1">
      <c r="A36" s="83"/>
      <c r="B36" s="78"/>
      <c r="C36" s="78" t="s">
        <v>4</v>
      </c>
      <c r="D36" s="78"/>
      <c r="E36" s="84"/>
      <c r="F36" s="85">
        <f>SUM(F37:F45)</f>
        <v>13106354.899999999</v>
      </c>
    </row>
    <row r="37" spans="1:6" ht="21.75" customHeight="1">
      <c r="A37" s="90"/>
      <c r="B37" s="91"/>
      <c r="C37" s="91"/>
      <c r="D37" s="91" t="s">
        <v>169</v>
      </c>
      <c r="E37" s="92"/>
      <c r="F37" s="93">
        <v>2653513.53</v>
      </c>
    </row>
    <row r="38" spans="1:6" ht="21.75" customHeight="1">
      <c r="A38" s="90"/>
      <c r="B38" s="91"/>
      <c r="C38" s="91"/>
      <c r="D38" s="91" t="s">
        <v>170</v>
      </c>
      <c r="E38" s="92"/>
      <c r="F38" s="93">
        <v>5203466.44</v>
      </c>
    </row>
    <row r="39" spans="1:6" ht="21.75" customHeight="1">
      <c r="A39" s="90"/>
      <c r="B39" s="91"/>
      <c r="C39" s="91"/>
      <c r="D39" s="91" t="s">
        <v>171</v>
      </c>
      <c r="E39" s="92"/>
      <c r="F39" s="93">
        <v>1177030.57</v>
      </c>
    </row>
    <row r="40" spans="1:6" ht="21.75" customHeight="1">
      <c r="A40" s="90"/>
      <c r="B40" s="91"/>
      <c r="C40" s="91"/>
      <c r="D40" s="91" t="s">
        <v>172</v>
      </c>
      <c r="E40" s="92"/>
      <c r="F40" s="93">
        <v>2115342.03</v>
      </c>
    </row>
    <row r="41" spans="1:6" ht="21.75" customHeight="1">
      <c r="A41" s="90"/>
      <c r="B41" s="91"/>
      <c r="C41" s="91"/>
      <c r="D41" s="91" t="s">
        <v>173</v>
      </c>
      <c r="E41" s="92"/>
      <c r="F41" s="93">
        <v>1704147</v>
      </c>
    </row>
    <row r="42" spans="1:6" ht="21.75" customHeight="1">
      <c r="A42" s="90"/>
      <c r="B42" s="91"/>
      <c r="C42" s="91"/>
      <c r="D42" s="91" t="s">
        <v>174</v>
      </c>
      <c r="E42" s="92"/>
      <c r="F42" s="93">
        <v>140485.59</v>
      </c>
    </row>
    <row r="43" spans="1:6" ht="21.75" customHeight="1">
      <c r="A43" s="90"/>
      <c r="B43" s="91"/>
      <c r="C43" s="91"/>
      <c r="D43" s="91" t="s">
        <v>175</v>
      </c>
      <c r="E43" s="92"/>
      <c r="F43" s="93">
        <v>26432.62</v>
      </c>
    </row>
    <row r="44" spans="1:6" ht="21.75" customHeight="1">
      <c r="A44" s="90"/>
      <c r="B44" s="91"/>
      <c r="C44" s="91"/>
      <c r="D44" s="91" t="s">
        <v>176</v>
      </c>
      <c r="E44" s="92"/>
      <c r="F44" s="93">
        <v>85937.12</v>
      </c>
    </row>
    <row r="45" spans="1:6" ht="21.75" customHeight="1">
      <c r="A45" s="99"/>
      <c r="B45" s="100"/>
      <c r="C45" s="100"/>
      <c r="D45" s="100"/>
      <c r="E45" s="101"/>
      <c r="F45" s="102">
        <v>0</v>
      </c>
    </row>
    <row r="46" spans="1:6" ht="21.75" customHeight="1">
      <c r="A46" s="83"/>
      <c r="B46" s="78"/>
      <c r="C46" s="78" t="s">
        <v>20</v>
      </c>
      <c r="D46" s="78"/>
      <c r="E46" s="84"/>
      <c r="F46" s="103">
        <v>0</v>
      </c>
    </row>
    <row r="47" spans="1:6" ht="21.75" customHeight="1">
      <c r="A47" s="83"/>
      <c r="B47" s="78"/>
      <c r="C47" s="78" t="s">
        <v>21</v>
      </c>
      <c r="D47" s="78"/>
      <c r="E47" s="84"/>
      <c r="F47" s="103">
        <v>0</v>
      </c>
    </row>
    <row r="48" spans="1:6" ht="21.75" customHeight="1">
      <c r="A48" s="83"/>
      <c r="B48" s="78"/>
      <c r="C48" s="78" t="s">
        <v>22</v>
      </c>
      <c r="D48" s="78"/>
      <c r="E48" s="84"/>
      <c r="F48" s="85">
        <f>SUM(F49)</f>
        <v>7615059</v>
      </c>
    </row>
    <row r="49" spans="1:6" ht="21.75" customHeight="1">
      <c r="A49" s="94"/>
      <c r="B49" s="95"/>
      <c r="C49" s="95"/>
      <c r="D49" s="95" t="s">
        <v>95</v>
      </c>
      <c r="E49" s="96"/>
      <c r="F49" s="97">
        <f>SUM(5555619+786240+1123200+150000)</f>
        <v>7615059</v>
      </c>
    </row>
    <row r="50" spans="1:6" ht="21.75" customHeight="1">
      <c r="A50" s="83"/>
      <c r="B50" s="78"/>
      <c r="C50" s="78" t="s">
        <v>23</v>
      </c>
      <c r="D50" s="78"/>
      <c r="E50" s="84"/>
      <c r="F50" s="85">
        <f>SUM(F51:F54)</f>
        <v>8971000</v>
      </c>
    </row>
    <row r="51" spans="1:6" ht="21.75" customHeight="1">
      <c r="A51" s="90"/>
      <c r="B51" s="91"/>
      <c r="C51" s="91"/>
      <c r="D51" s="91" t="s">
        <v>177</v>
      </c>
      <c r="E51" s="92"/>
      <c r="F51" s="93">
        <v>8225500</v>
      </c>
    </row>
    <row r="52" spans="1:8" ht="21.75" customHeight="1">
      <c r="A52" s="90"/>
      <c r="B52" s="91"/>
      <c r="C52" s="91"/>
      <c r="D52" s="91" t="s">
        <v>178</v>
      </c>
      <c r="E52" s="92"/>
      <c r="F52" s="93">
        <v>738000</v>
      </c>
      <c r="G52" s="75">
        <f>SUM(F51:F53)</f>
        <v>8971000</v>
      </c>
      <c r="H52" s="75">
        <v>8971000</v>
      </c>
    </row>
    <row r="53" spans="1:8" ht="21.75" customHeight="1">
      <c r="A53" s="90"/>
      <c r="B53" s="91"/>
      <c r="C53" s="91"/>
      <c r="D53" s="91" t="s">
        <v>196</v>
      </c>
      <c r="E53" s="92"/>
      <c r="F53" s="93">
        <v>7500</v>
      </c>
      <c r="H53" s="75">
        <f>SUM(G52-H52)</f>
        <v>0</v>
      </c>
    </row>
    <row r="54" spans="1:6" ht="21.75" customHeight="1">
      <c r="A54" s="90"/>
      <c r="B54" s="91"/>
      <c r="C54" s="91"/>
      <c r="D54" s="91"/>
      <c r="E54" s="92"/>
      <c r="F54" s="93"/>
    </row>
    <row r="55" spans="1:6" ht="21.75" customHeight="1">
      <c r="A55" s="90"/>
      <c r="B55" s="91"/>
      <c r="C55" s="91"/>
      <c r="D55" s="91"/>
      <c r="E55" s="92"/>
      <c r="F55" s="93"/>
    </row>
    <row r="56" spans="1:6" ht="21.75" customHeight="1">
      <c r="A56" s="90"/>
      <c r="B56" s="91"/>
      <c r="C56" s="91"/>
      <c r="D56" s="91"/>
      <c r="E56" s="92"/>
      <c r="F56" s="93"/>
    </row>
    <row r="57" spans="1:6" ht="21.75" customHeight="1">
      <c r="A57" s="90"/>
      <c r="B57" s="91"/>
      <c r="C57" s="91"/>
      <c r="D57" s="91"/>
      <c r="E57" s="92"/>
      <c r="F57" s="93"/>
    </row>
    <row r="58" spans="1:6" ht="21.75" customHeight="1">
      <c r="A58" s="90"/>
      <c r="B58" s="91"/>
      <c r="C58" s="91"/>
      <c r="D58" s="91"/>
      <c r="E58" s="92"/>
      <c r="F58" s="93"/>
    </row>
    <row r="59" spans="1:6" ht="21.75" customHeight="1">
      <c r="A59" s="90"/>
      <c r="B59" s="91"/>
      <c r="C59" s="91"/>
      <c r="D59" s="91"/>
      <c r="E59" s="92"/>
      <c r="F59" s="93"/>
    </row>
    <row r="60" spans="1:6" ht="21.75" customHeight="1">
      <c r="A60" s="90"/>
      <c r="B60" s="91"/>
      <c r="C60" s="91"/>
      <c r="D60" s="91"/>
      <c r="E60" s="92"/>
      <c r="F60" s="93"/>
    </row>
    <row r="61" spans="1:6" ht="21.75" customHeight="1">
      <c r="A61" s="90"/>
      <c r="B61" s="91"/>
      <c r="C61" s="91"/>
      <c r="D61" s="91"/>
      <c r="E61" s="92"/>
      <c r="F61" s="93"/>
    </row>
    <row r="62" spans="1:6" ht="21.75" customHeight="1">
      <c r="A62" s="90"/>
      <c r="B62" s="91"/>
      <c r="C62" s="91"/>
      <c r="D62" s="91"/>
      <c r="E62" s="92"/>
      <c r="F62" s="93"/>
    </row>
    <row r="63" spans="1:6" ht="21.75" customHeight="1">
      <c r="A63" s="209" t="s">
        <v>24</v>
      </c>
      <c r="B63" s="209"/>
      <c r="C63" s="209"/>
      <c r="D63" s="209"/>
      <c r="E63" s="209"/>
      <c r="F63" s="209"/>
    </row>
    <row r="64" spans="1:6" ht="21.75" customHeight="1">
      <c r="A64" s="110"/>
      <c r="B64" s="110"/>
      <c r="C64" s="110"/>
      <c r="D64" s="110"/>
      <c r="E64" s="110"/>
      <c r="F64" s="111"/>
    </row>
    <row r="65" spans="1:6" ht="21.75" customHeight="1">
      <c r="A65" s="205" t="s">
        <v>1</v>
      </c>
      <c r="B65" s="206"/>
      <c r="C65" s="206"/>
      <c r="D65" s="206"/>
      <c r="E65" s="207"/>
      <c r="F65" s="76" t="s">
        <v>72</v>
      </c>
    </row>
    <row r="66" spans="1:7" ht="21.75" customHeight="1" thickBot="1">
      <c r="A66" s="77" t="s">
        <v>25</v>
      </c>
      <c r="B66" s="78"/>
      <c r="C66" s="78"/>
      <c r="D66" s="78"/>
      <c r="E66" s="79" t="s">
        <v>15</v>
      </c>
      <c r="F66" s="80">
        <f>SUM(F67+F75+F77)</f>
        <v>23618834.560000002</v>
      </c>
      <c r="G66" s="112"/>
    </row>
    <row r="67" spans="1:8" ht="21.75" customHeight="1" thickTop="1">
      <c r="A67" s="83"/>
      <c r="B67" s="81" t="s">
        <v>26</v>
      </c>
      <c r="C67" s="78"/>
      <c r="D67" s="78"/>
      <c r="E67" s="79" t="s">
        <v>16</v>
      </c>
      <c r="F67" s="82">
        <f>SUM(F68:F74)</f>
        <v>14025394.56</v>
      </c>
      <c r="G67" s="113"/>
      <c r="H67" s="113"/>
    </row>
    <row r="68" spans="1:6" ht="21.75" customHeight="1">
      <c r="A68" s="114"/>
      <c r="B68" s="115"/>
      <c r="C68" s="115" t="s">
        <v>27</v>
      </c>
      <c r="D68" s="115"/>
      <c r="E68" s="116"/>
      <c r="F68" s="117">
        <f>SUM(619261+305860)</f>
        <v>925121</v>
      </c>
    </row>
    <row r="69" spans="1:6" ht="21.75" customHeight="1">
      <c r="A69" s="90"/>
      <c r="B69" s="91"/>
      <c r="C69" s="91" t="s">
        <v>28</v>
      </c>
      <c r="D69" s="91"/>
      <c r="E69" s="92"/>
      <c r="F69" s="93">
        <f>SUM(2951345+133680)</f>
        <v>3085025</v>
      </c>
    </row>
    <row r="70" spans="1:6" ht="21.75" customHeight="1">
      <c r="A70" s="90"/>
      <c r="B70" s="91"/>
      <c r="C70" s="91" t="s">
        <v>29</v>
      </c>
      <c r="D70" s="91"/>
      <c r="E70" s="92"/>
      <c r="F70" s="93">
        <v>1052460</v>
      </c>
    </row>
    <row r="71" spans="1:6" ht="21.75" customHeight="1">
      <c r="A71" s="90"/>
      <c r="B71" s="91"/>
      <c r="C71" s="91" t="s">
        <v>30</v>
      </c>
      <c r="D71" s="91"/>
      <c r="E71" s="92"/>
      <c r="F71" s="93">
        <f>SUM(2489809+12700+1966179.85+902220+501018+875597.56)</f>
        <v>6747524.41</v>
      </c>
    </row>
    <row r="72" spans="1:6" ht="21.75" customHeight="1">
      <c r="A72" s="90"/>
      <c r="B72" s="91"/>
      <c r="C72" s="91" t="s">
        <v>31</v>
      </c>
      <c r="D72" s="91"/>
      <c r="E72" s="92"/>
      <c r="F72" s="93">
        <f>SUM(233060.46+188446.47)</f>
        <v>421506.93</v>
      </c>
    </row>
    <row r="73" spans="1:6" ht="21.75" customHeight="1">
      <c r="A73" s="90"/>
      <c r="B73" s="91"/>
      <c r="C73" s="91" t="s">
        <v>32</v>
      </c>
      <c r="D73" s="91"/>
      <c r="E73" s="92"/>
      <c r="F73" s="93">
        <f>SUM(69000+1704757.22)</f>
        <v>1773757.22</v>
      </c>
    </row>
    <row r="74" spans="1:6" ht="21.75" customHeight="1">
      <c r="A74" s="106"/>
      <c r="B74" s="107"/>
      <c r="C74" s="107" t="s">
        <v>184</v>
      </c>
      <c r="D74" s="107"/>
      <c r="E74" s="108"/>
      <c r="F74" s="109">
        <v>20000</v>
      </c>
    </row>
    <row r="75" spans="1:6" ht="21.75" customHeight="1">
      <c r="A75" s="83"/>
      <c r="B75" s="81" t="s">
        <v>33</v>
      </c>
      <c r="C75" s="78"/>
      <c r="D75" s="78"/>
      <c r="E75" s="79" t="s">
        <v>16</v>
      </c>
      <c r="F75" s="85">
        <f>SUM(F76)</f>
        <v>1032240</v>
      </c>
    </row>
    <row r="76" spans="1:6" ht="21.75" customHeight="1">
      <c r="A76" s="83"/>
      <c r="B76" s="78"/>
      <c r="C76" s="78" t="s">
        <v>34</v>
      </c>
      <c r="D76" s="78"/>
      <c r="E76" s="84"/>
      <c r="F76" s="103">
        <f>SUM(317240+715000)</f>
        <v>1032240</v>
      </c>
    </row>
    <row r="77" spans="1:6" ht="21.75" customHeight="1">
      <c r="A77" s="83"/>
      <c r="B77" s="81" t="s">
        <v>35</v>
      </c>
      <c r="C77" s="78"/>
      <c r="D77" s="78"/>
      <c r="E77" s="79" t="s">
        <v>16</v>
      </c>
      <c r="F77" s="82">
        <f>SUM(F78:F81)</f>
        <v>8561200</v>
      </c>
    </row>
    <row r="78" spans="1:6" ht="21.75" customHeight="1">
      <c r="A78" s="90"/>
      <c r="B78" s="91"/>
      <c r="C78" s="91" t="s">
        <v>179</v>
      </c>
      <c r="D78" s="91"/>
      <c r="E78" s="92"/>
      <c r="F78" s="93">
        <v>7833200</v>
      </c>
    </row>
    <row r="79" spans="1:8" ht="21.75" customHeight="1">
      <c r="A79" s="90"/>
      <c r="B79" s="91"/>
      <c r="C79" s="91" t="s">
        <v>180</v>
      </c>
      <c r="D79" s="91"/>
      <c r="E79" s="92"/>
      <c r="F79" s="93">
        <v>720500</v>
      </c>
      <c r="G79" s="75">
        <f>SUM(F78:F80)</f>
        <v>8561200</v>
      </c>
      <c r="H79" s="75">
        <v>8561200</v>
      </c>
    </row>
    <row r="80" spans="1:8" ht="21.75" customHeight="1">
      <c r="A80" s="90"/>
      <c r="B80" s="91"/>
      <c r="C80" s="91" t="s">
        <v>197</v>
      </c>
      <c r="D80" s="91"/>
      <c r="E80" s="92"/>
      <c r="F80" s="93">
        <v>7500</v>
      </c>
      <c r="H80" s="75">
        <f>SUM(G79-H79)</f>
        <v>0</v>
      </c>
    </row>
    <row r="81" spans="1:6" ht="21.75" customHeight="1">
      <c r="A81" s="90"/>
      <c r="B81" s="91"/>
      <c r="C81" s="91"/>
      <c r="D81" s="91"/>
      <c r="E81" s="92"/>
      <c r="F81" s="93"/>
    </row>
    <row r="82" spans="1:6" ht="21.75" customHeight="1">
      <c r="A82" s="90"/>
      <c r="B82" s="91"/>
      <c r="C82" s="91"/>
      <c r="D82" s="91"/>
      <c r="E82" s="92"/>
      <c r="F82" s="93"/>
    </row>
    <row r="83" spans="1:6" ht="21.75" customHeight="1">
      <c r="A83" s="90"/>
      <c r="B83" s="91"/>
      <c r="C83" s="91"/>
      <c r="D83" s="91"/>
      <c r="E83" s="92"/>
      <c r="F83" s="93"/>
    </row>
    <row r="84" spans="1:6" ht="21.75" customHeight="1">
      <c r="A84" s="90"/>
      <c r="B84" s="91"/>
      <c r="C84" s="91"/>
      <c r="D84" s="91"/>
      <c r="E84" s="92"/>
      <c r="F84" s="93"/>
    </row>
    <row r="85" spans="1:6" ht="21.75" customHeight="1">
      <c r="A85" s="90"/>
      <c r="B85" s="91"/>
      <c r="C85" s="91"/>
      <c r="D85" s="91"/>
      <c r="E85" s="92"/>
      <c r="F85" s="93"/>
    </row>
    <row r="86" spans="1:6" ht="21.75" customHeight="1">
      <c r="A86" s="90"/>
      <c r="B86" s="91"/>
      <c r="C86" s="91"/>
      <c r="D86" s="91"/>
      <c r="E86" s="92"/>
      <c r="F86" s="93"/>
    </row>
    <row r="87" spans="1:6" ht="21.75" customHeight="1">
      <c r="A87" s="90"/>
      <c r="B87" s="91"/>
      <c r="C87" s="91"/>
      <c r="D87" s="91"/>
      <c r="E87" s="92"/>
      <c r="F87" s="93"/>
    </row>
    <row r="88" spans="1:6" ht="21.75" customHeight="1">
      <c r="A88" s="90"/>
      <c r="B88" s="91"/>
      <c r="C88" s="91"/>
      <c r="D88" s="91"/>
      <c r="E88" s="92"/>
      <c r="F88" s="93"/>
    </row>
    <row r="89" spans="1:6" ht="21.75" customHeight="1">
      <c r="A89" s="90"/>
      <c r="B89" s="91"/>
      <c r="C89" s="91"/>
      <c r="D89" s="91"/>
      <c r="E89" s="92"/>
      <c r="F89" s="93"/>
    </row>
    <row r="90" spans="1:6" ht="21.75" customHeight="1">
      <c r="A90" s="90"/>
      <c r="B90" s="91"/>
      <c r="C90" s="91"/>
      <c r="D90" s="91"/>
      <c r="E90" s="92"/>
      <c r="F90" s="93"/>
    </row>
    <row r="91" spans="1:6" ht="21.75" customHeight="1">
      <c r="A91" s="90"/>
      <c r="B91" s="91"/>
      <c r="C91" s="91"/>
      <c r="D91" s="91"/>
      <c r="E91" s="92"/>
      <c r="F91" s="93"/>
    </row>
    <row r="92" spans="1:6" ht="21.75" customHeight="1">
      <c r="A92" s="90"/>
      <c r="B92" s="91"/>
      <c r="C92" s="91"/>
      <c r="D92" s="91"/>
      <c r="E92" s="92"/>
      <c r="F92" s="93"/>
    </row>
    <row r="93" spans="1:6" ht="21.75" customHeight="1">
      <c r="A93" s="118"/>
      <c r="B93" s="119"/>
      <c r="C93" s="119"/>
      <c r="D93" s="119"/>
      <c r="E93" s="120"/>
      <c r="F93" s="121"/>
    </row>
  </sheetData>
  <sheetProtection/>
  <mergeCells count="7">
    <mergeCell ref="A65:E65"/>
    <mergeCell ref="A1:F1"/>
    <mergeCell ref="A2:F2"/>
    <mergeCell ref="A4:E4"/>
    <mergeCell ref="A32:F32"/>
    <mergeCell ref="A34:E34"/>
    <mergeCell ref="A63:F63"/>
  </mergeCells>
  <printOptions/>
  <pageMargins left="0.75" right="0.75" top="1.5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9">
      <selection activeCell="L29" sqref="L29"/>
    </sheetView>
  </sheetViews>
  <sheetFormatPr defaultColWidth="9.140625" defaultRowHeight="12.75"/>
  <cols>
    <col min="1" max="1" width="3.00390625" style="45" customWidth="1"/>
    <col min="2" max="2" width="3.421875" style="45" customWidth="1"/>
    <col min="3" max="3" width="4.140625" style="45" customWidth="1"/>
    <col min="4" max="4" width="3.00390625" style="45" customWidth="1"/>
    <col min="5" max="5" width="40.421875" style="45" customWidth="1"/>
    <col min="6" max="6" width="15.28125" style="44" customWidth="1"/>
    <col min="7" max="7" width="16.28125" style="44" customWidth="1"/>
    <col min="8" max="8" width="21.7109375" style="45" customWidth="1"/>
    <col min="9" max="16384" width="9.140625" style="45" customWidth="1"/>
  </cols>
  <sheetData>
    <row r="1" spans="1:8" ht="20.25">
      <c r="A1" s="46" t="s">
        <v>190</v>
      </c>
      <c r="B1" s="2"/>
      <c r="C1" s="2"/>
      <c r="D1" s="2"/>
      <c r="E1" s="2"/>
      <c r="F1" s="22"/>
      <c r="G1" s="22"/>
      <c r="H1" s="2"/>
    </row>
    <row r="2" spans="1:8" ht="19.5">
      <c r="A2" s="2">
        <v>1</v>
      </c>
      <c r="B2" s="2" t="s">
        <v>97</v>
      </c>
      <c r="C2" s="2"/>
      <c r="D2" s="2"/>
      <c r="E2" s="2"/>
      <c r="F2" s="22"/>
      <c r="G2" s="22"/>
      <c r="H2" s="2"/>
    </row>
    <row r="3" spans="1:8" ht="19.5">
      <c r="A3" s="2"/>
      <c r="B3" s="2" t="s">
        <v>98</v>
      </c>
      <c r="C3" s="2" t="s">
        <v>81</v>
      </c>
      <c r="D3" s="2"/>
      <c r="E3" s="2"/>
      <c r="F3" s="22">
        <v>7214</v>
      </c>
      <c r="G3" s="22"/>
      <c r="H3" s="2"/>
    </row>
    <row r="4" spans="1:8" ht="19.5">
      <c r="A4" s="2"/>
      <c r="B4" s="2"/>
      <c r="C4" s="2"/>
      <c r="D4" s="2" t="s">
        <v>99</v>
      </c>
      <c r="E4" s="2" t="s">
        <v>80</v>
      </c>
      <c r="F4" s="22"/>
      <c r="G4" s="22">
        <f>SUM(F3)</f>
        <v>7214</v>
      </c>
      <c r="H4" s="2"/>
    </row>
    <row r="5" spans="1:8" ht="19.5">
      <c r="A5" s="197">
        <v>2</v>
      </c>
      <c r="B5" s="197" t="s">
        <v>191</v>
      </c>
      <c r="C5" s="197"/>
      <c r="D5" s="197"/>
      <c r="E5" s="197"/>
      <c r="F5" s="198"/>
      <c r="G5" s="198"/>
      <c r="H5" s="2"/>
    </row>
    <row r="6" spans="1:8" ht="19.5">
      <c r="A6" s="197"/>
      <c r="B6" s="199" t="s">
        <v>98</v>
      </c>
      <c r="C6" s="197" t="s">
        <v>80</v>
      </c>
      <c r="D6" s="197"/>
      <c r="E6" s="197"/>
      <c r="F6" s="198">
        <v>5992</v>
      </c>
      <c r="G6" s="198"/>
      <c r="H6" s="2" t="s">
        <v>94</v>
      </c>
    </row>
    <row r="7" spans="1:8" ht="19.5">
      <c r="A7" s="197"/>
      <c r="B7" s="197"/>
      <c r="C7" s="197"/>
      <c r="D7" s="197" t="s">
        <v>99</v>
      </c>
      <c r="E7" s="197" t="s">
        <v>81</v>
      </c>
      <c r="F7" s="198"/>
      <c r="G7" s="198">
        <f>SUM(F6)</f>
        <v>5992</v>
      </c>
      <c r="H7" s="2"/>
    </row>
    <row r="8" spans="1:8" ht="19.5">
      <c r="A8" s="2">
        <v>3</v>
      </c>
      <c r="B8" s="2" t="s">
        <v>147</v>
      </c>
      <c r="C8" s="2"/>
      <c r="D8" s="2"/>
      <c r="E8" s="2"/>
      <c r="F8" s="22"/>
      <c r="G8" s="22"/>
      <c r="H8" s="2"/>
    </row>
    <row r="9" spans="1:8" ht="19.5">
      <c r="A9" s="2"/>
      <c r="B9" s="2" t="s">
        <v>98</v>
      </c>
      <c r="C9" s="2" t="s">
        <v>107</v>
      </c>
      <c r="D9" s="2"/>
      <c r="E9" s="2"/>
      <c r="F9" s="22">
        <v>13514.58</v>
      </c>
      <c r="G9" s="22"/>
      <c r="H9" s="2"/>
    </row>
    <row r="10" spans="1:8" ht="19.5">
      <c r="A10" s="2"/>
      <c r="B10" s="2"/>
      <c r="C10" s="2"/>
      <c r="D10" s="2" t="s">
        <v>99</v>
      </c>
      <c r="E10" s="2" t="s">
        <v>81</v>
      </c>
      <c r="F10" s="22"/>
      <c r="G10" s="22">
        <f>SUM(F9)</f>
        <v>13514.58</v>
      </c>
      <c r="H10" s="2"/>
    </row>
    <row r="11" spans="1:8" ht="19.5">
      <c r="A11" s="2">
        <v>4</v>
      </c>
      <c r="B11" s="2" t="s">
        <v>192</v>
      </c>
      <c r="C11" s="2"/>
      <c r="D11" s="2"/>
      <c r="E11" s="2"/>
      <c r="F11" s="22"/>
      <c r="G11" s="22"/>
      <c r="H11" s="2"/>
    </row>
    <row r="12" spans="1:8" ht="19.5">
      <c r="A12" s="2"/>
      <c r="B12" s="2" t="s">
        <v>98</v>
      </c>
      <c r="C12" s="2" t="s">
        <v>106</v>
      </c>
      <c r="D12" s="2"/>
      <c r="E12" s="2"/>
      <c r="F12" s="22">
        <v>27889</v>
      </c>
      <c r="G12" s="22"/>
      <c r="H12" s="2"/>
    </row>
    <row r="13" spans="1:8" ht="19.5">
      <c r="A13" s="2"/>
      <c r="B13" s="2"/>
      <c r="C13" s="2"/>
      <c r="D13" s="2" t="s">
        <v>99</v>
      </c>
      <c r="E13" s="2" t="s">
        <v>81</v>
      </c>
      <c r="F13" s="22"/>
      <c r="G13" s="22">
        <f>SUM(F12)</f>
        <v>27889</v>
      </c>
      <c r="H13" s="2"/>
    </row>
    <row r="14" spans="1:8" ht="19.5">
      <c r="A14" s="195">
        <v>4</v>
      </c>
      <c r="B14" s="195" t="s">
        <v>100</v>
      </c>
      <c r="C14" s="195"/>
      <c r="D14" s="195"/>
      <c r="E14" s="195"/>
      <c r="F14" s="196"/>
      <c r="G14" s="196"/>
      <c r="H14" s="54"/>
    </row>
    <row r="15" spans="1:8" ht="19.5">
      <c r="A15" s="195"/>
      <c r="B15" s="195" t="s">
        <v>98</v>
      </c>
      <c r="C15" s="195" t="s">
        <v>101</v>
      </c>
      <c r="D15" s="195"/>
      <c r="E15" s="195"/>
      <c r="F15" s="196">
        <f>SUM(21661173.87-49861-479500-1664500)</f>
        <v>19467312.87</v>
      </c>
      <c r="G15" s="196"/>
      <c r="H15" s="2"/>
    </row>
    <row r="16" spans="1:8" ht="19.5">
      <c r="A16" s="195"/>
      <c r="B16" s="195"/>
      <c r="C16" s="195"/>
      <c r="D16" s="195" t="s">
        <v>99</v>
      </c>
      <c r="E16" s="195" t="s">
        <v>102</v>
      </c>
      <c r="F16" s="196"/>
      <c r="G16" s="196">
        <f>SUM(2619859+119520+995640+3060771.5+2476283.2+1481810+142781.05+1477890+374470+2113402+20000+2703458)</f>
        <v>17585884.75</v>
      </c>
      <c r="H16" s="2"/>
    </row>
    <row r="17" spans="1:8" ht="19.5">
      <c r="A17" s="195"/>
      <c r="B17" s="195"/>
      <c r="C17" s="195"/>
      <c r="D17" s="195"/>
      <c r="E17" s="195" t="s">
        <v>103</v>
      </c>
      <c r="F17" s="196"/>
      <c r="G17" s="196">
        <f>SUM(F15-G16)</f>
        <v>1881428.120000001</v>
      </c>
      <c r="H17" s="22"/>
    </row>
    <row r="18" spans="1:8" ht="19.5">
      <c r="A18" s="195">
        <v>5</v>
      </c>
      <c r="B18" s="195" t="s">
        <v>185</v>
      </c>
      <c r="C18" s="195"/>
      <c r="D18" s="195"/>
      <c r="E18" s="195"/>
      <c r="F18" s="196"/>
      <c r="G18" s="196"/>
      <c r="H18" s="2"/>
    </row>
    <row r="19" spans="1:8" ht="19.5">
      <c r="A19" s="195"/>
      <c r="B19" s="195" t="s">
        <v>98</v>
      </c>
      <c r="C19" s="195" t="s">
        <v>81</v>
      </c>
      <c r="D19" s="195"/>
      <c r="E19" s="195"/>
      <c r="F19" s="196">
        <f>SUM(G17*25/100)</f>
        <v>470357.0300000003</v>
      </c>
      <c r="G19" s="196"/>
      <c r="H19" s="2"/>
    </row>
    <row r="20" spans="1:8" ht="19.5">
      <c r="A20" s="195"/>
      <c r="B20" s="195"/>
      <c r="C20" s="195"/>
      <c r="D20" s="195" t="s">
        <v>99</v>
      </c>
      <c r="E20" s="195" t="s">
        <v>112</v>
      </c>
      <c r="F20" s="196"/>
      <c r="G20" s="196">
        <f>SUM(F19)</f>
        <v>470357.0300000003</v>
      </c>
      <c r="H20" s="56"/>
    </row>
    <row r="21" spans="1:8" ht="19.5">
      <c r="A21" s="2">
        <v>6</v>
      </c>
      <c r="B21" s="2" t="s">
        <v>145</v>
      </c>
      <c r="C21" s="2"/>
      <c r="D21" s="2"/>
      <c r="E21" s="2"/>
      <c r="F21" s="22"/>
      <c r="G21" s="196"/>
      <c r="H21" s="2"/>
    </row>
    <row r="22" spans="1:8" ht="19.5">
      <c r="A22" s="2"/>
      <c r="B22" s="2" t="s">
        <v>98</v>
      </c>
      <c r="C22" s="2" t="s">
        <v>157</v>
      </c>
      <c r="D22" s="2"/>
      <c r="E22" s="2"/>
      <c r="F22" s="22">
        <v>359572</v>
      </c>
      <c r="G22" s="196"/>
      <c r="H22" s="54">
        <f>SUM(F22:F25)</f>
        <v>790441</v>
      </c>
    </row>
    <row r="23" spans="1:8" ht="19.5">
      <c r="A23" s="2"/>
      <c r="B23" s="2"/>
      <c r="C23" s="2" t="s">
        <v>158</v>
      </c>
      <c r="D23" s="2"/>
      <c r="E23" s="2"/>
      <c r="F23" s="22">
        <v>265670</v>
      </c>
      <c r="G23" s="196"/>
      <c r="H23" s="2"/>
    </row>
    <row r="24" spans="1:8" ht="19.5">
      <c r="A24" s="2"/>
      <c r="B24" s="2"/>
      <c r="C24" s="2" t="s">
        <v>159</v>
      </c>
      <c r="D24" s="2"/>
      <c r="E24" s="2"/>
      <c r="F24" s="22">
        <v>102561</v>
      </c>
      <c r="G24" s="196"/>
      <c r="H24" s="2"/>
    </row>
    <row r="25" spans="1:8" ht="19.5">
      <c r="A25" s="2"/>
      <c r="B25" s="2"/>
      <c r="C25" s="2" t="s">
        <v>160</v>
      </c>
      <c r="D25" s="2"/>
      <c r="E25" s="2"/>
      <c r="F25" s="22">
        <v>62638</v>
      </c>
      <c r="G25" s="196"/>
      <c r="H25" s="2"/>
    </row>
    <row r="26" spans="1:8" ht="19.5">
      <c r="A26" s="2"/>
      <c r="B26" s="2"/>
      <c r="C26" s="2" t="s">
        <v>193</v>
      </c>
      <c r="D26" s="2"/>
      <c r="E26" s="2"/>
      <c r="F26" s="22">
        <v>796</v>
      </c>
      <c r="G26" s="196"/>
      <c r="H26" s="2"/>
    </row>
    <row r="27" spans="1:8" ht="19.5">
      <c r="A27" s="195"/>
      <c r="B27" s="195"/>
      <c r="C27" s="2" t="s">
        <v>194</v>
      </c>
      <c r="D27" s="2"/>
      <c r="E27" s="2"/>
      <c r="F27" s="22">
        <v>7200</v>
      </c>
      <c r="G27" s="196"/>
      <c r="H27" s="2"/>
    </row>
    <row r="28" spans="1:8" ht="19.5">
      <c r="A28" s="195"/>
      <c r="B28" s="195"/>
      <c r="C28" s="195"/>
      <c r="D28" s="2" t="s">
        <v>99</v>
      </c>
      <c r="E28" s="2" t="s">
        <v>106</v>
      </c>
      <c r="F28" s="196"/>
      <c r="G28" s="196">
        <f>SUM(F22:F27)</f>
        <v>798437</v>
      </c>
      <c r="H28" s="2"/>
    </row>
    <row r="29" spans="1:8" ht="19.5">
      <c r="A29" s="195"/>
      <c r="B29" s="195"/>
      <c r="C29" s="195"/>
      <c r="D29" s="195"/>
      <c r="E29" s="195"/>
      <c r="F29" s="196"/>
      <c r="G29" s="196"/>
      <c r="H29" s="2"/>
    </row>
    <row r="30" spans="1:8" ht="19.5">
      <c r="A30" s="195">
        <v>7</v>
      </c>
      <c r="B30" s="195" t="s">
        <v>146</v>
      </c>
      <c r="C30" s="195"/>
      <c r="D30" s="195"/>
      <c r="E30" s="195"/>
      <c r="F30" s="196"/>
      <c r="G30" s="196"/>
      <c r="H30" s="2"/>
    </row>
    <row r="31" spans="1:8" ht="19.5">
      <c r="A31" s="200"/>
      <c r="B31" s="200" t="s">
        <v>98</v>
      </c>
      <c r="C31" s="200" t="s">
        <v>148</v>
      </c>
      <c r="D31" s="200"/>
      <c r="E31" s="200"/>
      <c r="F31" s="201">
        <v>123284.16</v>
      </c>
      <c r="G31" s="201"/>
      <c r="H31" s="1"/>
    </row>
    <row r="32" spans="1:8" ht="19.5">
      <c r="A32" s="200"/>
      <c r="B32" s="200"/>
      <c r="C32" s="200" t="s">
        <v>63</v>
      </c>
      <c r="D32" s="200"/>
      <c r="E32" s="200"/>
      <c r="F32" s="201">
        <f>1790402+3000</f>
        <v>1793402</v>
      </c>
      <c r="G32" s="201"/>
      <c r="H32" s="1"/>
    </row>
    <row r="33" spans="1:8" ht="19.5">
      <c r="A33" s="200"/>
      <c r="B33" s="200"/>
      <c r="C33" s="200"/>
      <c r="D33" s="200" t="s">
        <v>99</v>
      </c>
      <c r="E33" s="200" t="s">
        <v>107</v>
      </c>
      <c r="F33" s="201"/>
      <c r="G33" s="201">
        <f>SUM(F31:F32)</f>
        <v>1916686.16</v>
      </c>
      <c r="H33" s="1"/>
    </row>
    <row r="34" spans="1:8" ht="19.5">
      <c r="A34" s="200"/>
      <c r="B34" s="200"/>
      <c r="C34" s="200"/>
      <c r="D34" s="200"/>
      <c r="E34" s="200"/>
      <c r="F34" s="201"/>
      <c r="G34" s="201"/>
      <c r="H34" s="1"/>
    </row>
    <row r="35" spans="1:8" ht="19.5">
      <c r="A35" s="1"/>
      <c r="B35" s="1"/>
      <c r="C35" s="1"/>
      <c r="D35" s="1"/>
      <c r="E35" s="1"/>
      <c r="F35" s="19"/>
      <c r="G35" s="19"/>
      <c r="H35" s="1"/>
    </row>
    <row r="36" spans="1:8" ht="19.5">
      <c r="A36" s="1"/>
      <c r="B36" s="1"/>
      <c r="C36" s="1"/>
      <c r="D36" s="1"/>
      <c r="E36" s="1"/>
      <c r="F36" s="19"/>
      <c r="G36" s="19"/>
      <c r="H36" s="1"/>
    </row>
  </sheetData>
  <sheetProtection/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5"/>
  <sheetViews>
    <sheetView tabSelected="1" zoomScalePageLayoutView="0" workbookViewId="0" topLeftCell="A211">
      <selection activeCell="F213" sqref="F213"/>
    </sheetView>
  </sheetViews>
  <sheetFormatPr defaultColWidth="9.140625" defaultRowHeight="12.75"/>
  <cols>
    <col min="1" max="1" width="4.7109375" style="3" customWidth="1"/>
    <col min="2" max="2" width="39.421875" style="3" customWidth="1"/>
    <col min="3" max="3" width="14.57421875" style="15" customWidth="1"/>
    <col min="4" max="4" width="14.7109375" style="15" customWidth="1"/>
    <col min="5" max="5" width="4.140625" style="16" customWidth="1"/>
    <col min="6" max="6" width="14.57421875" style="15" customWidth="1"/>
    <col min="7" max="7" width="9.140625" style="3" customWidth="1"/>
    <col min="8" max="8" width="19.421875" style="3" customWidth="1"/>
    <col min="9" max="16384" width="9.140625" style="3" customWidth="1"/>
  </cols>
  <sheetData>
    <row r="1" spans="1:6" ht="20.25">
      <c r="A1" s="215" t="s">
        <v>36</v>
      </c>
      <c r="B1" s="215"/>
      <c r="C1" s="215"/>
      <c r="D1" s="215"/>
      <c r="E1" s="215"/>
      <c r="F1" s="215"/>
    </row>
    <row r="2" spans="1:6" ht="20.25">
      <c r="A2" s="215" t="s">
        <v>161</v>
      </c>
      <c r="B2" s="215"/>
      <c r="C2" s="215"/>
      <c r="D2" s="215"/>
      <c r="E2" s="215"/>
      <c r="F2" s="215"/>
    </row>
    <row r="3" spans="1:6" ht="20.25">
      <c r="A3" s="216" t="s">
        <v>162</v>
      </c>
      <c r="B3" s="216"/>
      <c r="C3" s="216"/>
      <c r="D3" s="216"/>
      <c r="E3" s="216"/>
      <c r="F3" s="216"/>
    </row>
    <row r="4" spans="1:6" s="5" customFormat="1" ht="16.5" customHeight="1">
      <c r="A4" s="4"/>
      <c r="B4" s="4"/>
      <c r="C4" s="213" t="s">
        <v>47</v>
      </c>
      <c r="D4" s="213" t="s">
        <v>48</v>
      </c>
      <c r="E4" s="34" t="s">
        <v>49</v>
      </c>
      <c r="F4" s="34" t="s">
        <v>51</v>
      </c>
    </row>
    <row r="5" spans="1:6" s="5" customFormat="1" ht="16.5" customHeight="1">
      <c r="A5" s="6"/>
      <c r="B5" s="6"/>
      <c r="C5" s="214"/>
      <c r="D5" s="214"/>
      <c r="E5" s="35" t="s">
        <v>50</v>
      </c>
      <c r="F5" s="35" t="s">
        <v>52</v>
      </c>
    </row>
    <row r="6" spans="1:6" s="5" customFormat="1" ht="16.5" customHeight="1">
      <c r="A6" s="33" t="s">
        <v>37</v>
      </c>
      <c r="C6" s="10"/>
      <c r="D6" s="10"/>
      <c r="E6" s="8"/>
      <c r="F6" s="10"/>
    </row>
    <row r="7" spans="1:6" s="5" customFormat="1" ht="16.5" customHeight="1">
      <c r="A7" s="40" t="s">
        <v>2</v>
      </c>
      <c r="B7" s="31"/>
      <c r="C7" s="11"/>
      <c r="D7" s="11"/>
      <c r="E7" s="32"/>
      <c r="F7" s="11"/>
    </row>
    <row r="8" spans="1:6" s="5" customFormat="1" ht="16.5" customHeight="1">
      <c r="A8" s="31"/>
      <c r="B8" s="31" t="s">
        <v>38</v>
      </c>
      <c r="C8" s="11">
        <v>134619</v>
      </c>
      <c r="D8" s="11">
        <v>160270.95</v>
      </c>
      <c r="E8" s="32"/>
      <c r="F8" s="11">
        <f>SUM(D8-C8)</f>
        <v>25651.95000000001</v>
      </c>
    </row>
    <row r="9" spans="1:6" s="5" customFormat="1" ht="16.5" customHeight="1">
      <c r="A9" s="31"/>
      <c r="B9" s="31" t="s">
        <v>39</v>
      </c>
      <c r="C9" s="11">
        <v>28340</v>
      </c>
      <c r="D9" s="11">
        <v>85169</v>
      </c>
      <c r="E9" s="32"/>
      <c r="F9" s="11">
        <f aca="true" t="shared" si="0" ref="F9:F15">SUM(D9-C9)</f>
        <v>56829</v>
      </c>
    </row>
    <row r="10" spans="1:6" s="5" customFormat="1" ht="16.5" customHeight="1">
      <c r="A10" s="31"/>
      <c r="B10" s="31" t="s">
        <v>40</v>
      </c>
      <c r="C10" s="11">
        <v>53257</v>
      </c>
      <c r="D10" s="11">
        <v>58651.19</v>
      </c>
      <c r="E10" s="32"/>
      <c r="F10" s="11">
        <f t="shared" si="0"/>
        <v>5394.190000000002</v>
      </c>
    </row>
    <row r="11" spans="1:6" s="5" customFormat="1" ht="16.5" customHeight="1">
      <c r="A11" s="31"/>
      <c r="B11" s="31" t="s">
        <v>41</v>
      </c>
      <c r="C11" s="11">
        <v>0</v>
      </c>
      <c r="D11" s="11">
        <v>0</v>
      </c>
      <c r="E11" s="32"/>
      <c r="F11" s="11">
        <f t="shared" si="0"/>
        <v>0</v>
      </c>
    </row>
    <row r="12" spans="1:6" s="5" customFormat="1" ht="16.5" customHeight="1">
      <c r="A12" s="31"/>
      <c r="B12" s="31" t="s">
        <v>42</v>
      </c>
      <c r="C12" s="11">
        <v>179742</v>
      </c>
      <c r="D12" s="11">
        <v>64803.13</v>
      </c>
      <c r="E12" s="32"/>
      <c r="F12" s="11">
        <f t="shared" si="0"/>
        <v>-114938.87</v>
      </c>
    </row>
    <row r="13" spans="1:6" s="5" customFormat="1" ht="16.5" customHeight="1">
      <c r="A13" s="31"/>
      <c r="B13" s="31" t="s">
        <v>43</v>
      </c>
      <c r="C13" s="11">
        <v>0</v>
      </c>
      <c r="D13" s="11">
        <v>0</v>
      </c>
      <c r="E13" s="32"/>
      <c r="F13" s="11">
        <f t="shared" si="0"/>
        <v>0</v>
      </c>
    </row>
    <row r="14" spans="1:6" s="5" customFormat="1" ht="16.5" customHeight="1">
      <c r="A14" s="31"/>
      <c r="B14" s="31" t="s">
        <v>44</v>
      </c>
      <c r="C14" s="11">
        <v>8950072</v>
      </c>
      <c r="D14" s="11">
        <v>12501648.97</v>
      </c>
      <c r="E14" s="32"/>
      <c r="F14" s="11">
        <f t="shared" si="0"/>
        <v>3551576.9700000007</v>
      </c>
    </row>
    <row r="15" spans="1:6" s="5" customFormat="1" ht="16.5" customHeight="1">
      <c r="A15" s="31"/>
      <c r="B15" s="31" t="s">
        <v>45</v>
      </c>
      <c r="C15" s="11">
        <v>9370064</v>
      </c>
      <c r="D15" s="11">
        <v>6889541</v>
      </c>
      <c r="E15" s="32"/>
      <c r="F15" s="11">
        <f t="shared" si="0"/>
        <v>-2480523</v>
      </c>
    </row>
    <row r="16" spans="1:6" s="5" customFormat="1" ht="16.5" customHeight="1">
      <c r="A16" s="33" t="s">
        <v>46</v>
      </c>
      <c r="C16" s="17">
        <f>SUM(C8:C15)</f>
        <v>18716094</v>
      </c>
      <c r="D16" s="17">
        <f>SUM(D8:D15)</f>
        <v>19760084.240000002</v>
      </c>
      <c r="E16" s="17">
        <f>SUM(E8:E15)</f>
        <v>0</v>
      </c>
      <c r="F16" s="17">
        <f>SUM(F8:F15)</f>
        <v>1043990.2400000007</v>
      </c>
    </row>
    <row r="17" spans="1:8" s="5" customFormat="1" ht="16.5" customHeight="1">
      <c r="A17" s="33" t="s">
        <v>156</v>
      </c>
      <c r="C17" s="55"/>
      <c r="D17" s="17">
        <v>5374100</v>
      </c>
      <c r="E17" s="55"/>
      <c r="F17" s="55"/>
      <c r="H17" s="5">
        <f>SUM(157080+5000+867000)</f>
        <v>1029080</v>
      </c>
    </row>
    <row r="18" spans="2:6" s="5" customFormat="1" ht="16.5" customHeight="1">
      <c r="B18" s="33" t="s">
        <v>71</v>
      </c>
      <c r="C18" s="13"/>
      <c r="D18" s="17">
        <f>SUM(D16:D17)</f>
        <v>25134184.240000002</v>
      </c>
      <c r="E18" s="14"/>
      <c r="F18" s="13"/>
    </row>
    <row r="19" spans="3:6" s="5" customFormat="1" ht="7.5" customHeight="1">
      <c r="C19" s="13"/>
      <c r="D19" s="13"/>
      <c r="E19" s="14"/>
      <c r="F19" s="13"/>
    </row>
    <row r="20" spans="1:6" s="5" customFormat="1" ht="16.5" customHeight="1">
      <c r="A20" s="4"/>
      <c r="B20" s="4"/>
      <c r="C20" s="213" t="s">
        <v>47</v>
      </c>
      <c r="D20" s="213" t="s">
        <v>96</v>
      </c>
      <c r="E20" s="34" t="s">
        <v>49</v>
      </c>
      <c r="F20" s="34" t="s">
        <v>51</v>
      </c>
    </row>
    <row r="21" spans="1:6" s="5" customFormat="1" ht="16.5" customHeight="1">
      <c r="A21" s="6"/>
      <c r="B21" s="6"/>
      <c r="C21" s="214"/>
      <c r="D21" s="214"/>
      <c r="E21" s="35" t="s">
        <v>50</v>
      </c>
      <c r="F21" s="35" t="s">
        <v>52</v>
      </c>
    </row>
    <row r="22" spans="1:6" s="5" customFormat="1" ht="16.5" customHeight="1">
      <c r="A22" s="41" t="s">
        <v>53</v>
      </c>
      <c r="B22" s="4"/>
      <c r="C22" s="10"/>
      <c r="D22" s="10"/>
      <c r="E22" s="8"/>
      <c r="F22" s="10"/>
    </row>
    <row r="23" spans="1:6" s="5" customFormat="1" ht="16.5" customHeight="1">
      <c r="A23" s="31"/>
      <c r="B23" s="31" t="s">
        <v>54</v>
      </c>
      <c r="C23" s="11">
        <f>SUM(320261+304098)</f>
        <v>624359</v>
      </c>
      <c r="D23" s="11">
        <f>SUM(313615.3+80100)</f>
        <v>393715.3</v>
      </c>
      <c r="E23" s="32"/>
      <c r="F23" s="11">
        <f>SUM(D23-C23)</f>
        <v>-230643.7</v>
      </c>
    </row>
    <row r="24" spans="1:6" s="5" customFormat="1" ht="16.5" customHeight="1">
      <c r="A24" s="31"/>
      <c r="B24" s="31" t="s">
        <v>55</v>
      </c>
      <c r="C24" s="11">
        <v>2594300</v>
      </c>
      <c r="D24" s="11">
        <v>2590730</v>
      </c>
      <c r="E24" s="32"/>
      <c r="F24" s="11">
        <f aca="true" t="shared" si="1" ref="F24:F34">SUM(D24-C24)</f>
        <v>-3570</v>
      </c>
    </row>
    <row r="25" spans="1:8" s="5" customFormat="1" ht="16.5" customHeight="1">
      <c r="A25" s="31"/>
      <c r="B25" s="31" t="s">
        <v>56</v>
      </c>
      <c r="C25" s="11">
        <v>115440</v>
      </c>
      <c r="D25" s="11">
        <v>115440</v>
      </c>
      <c r="E25" s="32"/>
      <c r="F25" s="11">
        <f t="shared" si="1"/>
        <v>0</v>
      </c>
      <c r="H25" s="20">
        <f>SUM(D24:D25)</f>
        <v>2706170</v>
      </c>
    </row>
    <row r="26" spans="1:6" s="5" customFormat="1" ht="16.5" customHeight="1">
      <c r="A26" s="31"/>
      <c r="B26" s="31" t="s">
        <v>57</v>
      </c>
      <c r="C26" s="11">
        <v>897809</v>
      </c>
      <c r="D26" s="11">
        <v>897809</v>
      </c>
      <c r="E26" s="32"/>
      <c r="F26" s="11">
        <f t="shared" si="1"/>
        <v>0</v>
      </c>
    </row>
    <row r="27" spans="1:8" s="5" customFormat="1" ht="16.5" customHeight="1">
      <c r="A27" s="31"/>
      <c r="B27" s="31" t="s">
        <v>58</v>
      </c>
      <c r="C27" s="11">
        <v>2972730</v>
      </c>
      <c r="D27" s="11">
        <v>2168359.75</v>
      </c>
      <c r="E27" s="32"/>
      <c r="F27" s="11">
        <f t="shared" si="1"/>
        <v>-804370.25</v>
      </c>
      <c r="H27" s="20">
        <f>SUM(D27:D29)</f>
        <v>5049265.6899999995</v>
      </c>
    </row>
    <row r="28" spans="1:6" s="5" customFormat="1" ht="16.5" customHeight="1">
      <c r="A28" s="31"/>
      <c r="B28" s="31" t="s">
        <v>59</v>
      </c>
      <c r="C28" s="11">
        <f>SUM(1868100+89959)</f>
        <v>1958059</v>
      </c>
      <c r="D28" s="11">
        <v>1725768.5</v>
      </c>
      <c r="E28" s="32"/>
      <c r="F28" s="11">
        <f t="shared" si="1"/>
        <v>-232290.5</v>
      </c>
    </row>
    <row r="29" spans="1:6" s="5" customFormat="1" ht="16.5" customHeight="1">
      <c r="A29" s="31"/>
      <c r="B29" s="31" t="s">
        <v>60</v>
      </c>
      <c r="C29" s="11">
        <f>SUM(411000+1208160)</f>
        <v>1619160</v>
      </c>
      <c r="D29" s="11">
        <f>SUM(419618.88+735518.56)</f>
        <v>1155137.44</v>
      </c>
      <c r="E29" s="32"/>
      <c r="F29" s="11">
        <f t="shared" si="1"/>
        <v>-464022.56000000006</v>
      </c>
    </row>
    <row r="30" spans="1:6" s="5" customFormat="1" ht="16.5" customHeight="1">
      <c r="A30" s="31"/>
      <c r="B30" s="31" t="s">
        <v>61</v>
      </c>
      <c r="C30" s="11">
        <v>273000</v>
      </c>
      <c r="D30" s="11">
        <v>153323.03</v>
      </c>
      <c r="E30" s="32"/>
      <c r="F30" s="11">
        <f t="shared" si="1"/>
        <v>-119676.97</v>
      </c>
    </row>
    <row r="31" spans="1:6" s="5" customFormat="1" ht="16.5" customHeight="1">
      <c r="A31" s="31"/>
      <c r="B31" s="31" t="s">
        <v>45</v>
      </c>
      <c r="C31" s="11">
        <f>SUM(61200+1731847)</f>
        <v>1793047</v>
      </c>
      <c r="D31" s="11">
        <f>SUM(53000+1685977.03)</f>
        <v>1738977.03</v>
      </c>
      <c r="E31" s="32"/>
      <c r="F31" s="11">
        <f t="shared" si="1"/>
        <v>-54069.96999999997</v>
      </c>
    </row>
    <row r="32" spans="1:6" s="5" customFormat="1" ht="16.5" customHeight="1">
      <c r="A32" s="31"/>
      <c r="B32" s="31" t="s">
        <v>62</v>
      </c>
      <c r="C32" s="11">
        <v>2190</v>
      </c>
      <c r="D32" s="11">
        <v>2190</v>
      </c>
      <c r="E32" s="32"/>
      <c r="F32" s="11">
        <f t="shared" si="1"/>
        <v>0</v>
      </c>
    </row>
    <row r="33" spans="1:6" s="5" customFormat="1" ht="16.5" customHeight="1">
      <c r="A33" s="31"/>
      <c r="B33" s="31" t="s">
        <v>63</v>
      </c>
      <c r="C33" s="11">
        <v>1652000</v>
      </c>
      <c r="D33" s="11">
        <v>0</v>
      </c>
      <c r="E33" s="32"/>
      <c r="F33" s="11">
        <f t="shared" si="1"/>
        <v>-1652000</v>
      </c>
    </row>
    <row r="34" spans="1:6" s="5" customFormat="1" ht="16.5" customHeight="1">
      <c r="A34" s="31"/>
      <c r="B34" s="31" t="s">
        <v>64</v>
      </c>
      <c r="C34" s="12">
        <f>20000+4194000</f>
        <v>4214000</v>
      </c>
      <c r="D34" s="12">
        <f>SUM(20000+4059000)</f>
        <v>4079000</v>
      </c>
      <c r="E34" s="9"/>
      <c r="F34" s="11">
        <f t="shared" si="1"/>
        <v>-135000</v>
      </c>
    </row>
    <row r="35" spans="1:8" s="5" customFormat="1" ht="16.5" customHeight="1">
      <c r="A35" s="31"/>
      <c r="B35" s="43" t="s">
        <v>65</v>
      </c>
      <c r="C35" s="36">
        <f>SUM(C23:C34)</f>
        <v>18716094</v>
      </c>
      <c r="D35" s="36">
        <f>SUM(D23:D34)</f>
        <v>15020450.049999999</v>
      </c>
      <c r="E35" s="36">
        <f>SUM(E23:E34)</f>
        <v>0</v>
      </c>
      <c r="F35" s="17">
        <f>SUM(F23:F34)</f>
        <v>-3695643.95</v>
      </c>
      <c r="H35" s="21">
        <f>SUM(C35-D35)*25/100</f>
        <v>923910.9875000003</v>
      </c>
    </row>
    <row r="36" spans="2:8" s="5" customFormat="1" ht="16.5" customHeight="1">
      <c r="B36" s="33" t="s">
        <v>66</v>
      </c>
      <c r="C36" s="13"/>
      <c r="D36" s="17">
        <v>5157500</v>
      </c>
      <c r="E36" s="14"/>
      <c r="F36" s="13"/>
      <c r="H36" s="21">
        <f>SUM(857500+5000+77062.5)</f>
        <v>939562.5</v>
      </c>
    </row>
    <row r="37" spans="2:6" s="5" customFormat="1" ht="16.5" customHeight="1">
      <c r="B37" s="42" t="s">
        <v>69</v>
      </c>
      <c r="C37" s="13"/>
      <c r="D37" s="17">
        <f>SUM(D35:D36)</f>
        <v>20177950.049999997</v>
      </c>
      <c r="E37" s="14"/>
      <c r="F37" s="13"/>
    </row>
    <row r="38" spans="2:6" s="5" customFormat="1" ht="16.5" customHeight="1">
      <c r="B38" s="7" t="s">
        <v>67</v>
      </c>
      <c r="C38" s="13"/>
      <c r="D38" s="18">
        <f>SUM(D18-D37)</f>
        <v>4956234.190000005</v>
      </c>
      <c r="E38" s="14"/>
      <c r="F38" s="13"/>
    </row>
    <row r="39" spans="2:6" s="5" customFormat="1" ht="16.5" customHeight="1">
      <c r="B39" s="5" t="s">
        <v>70</v>
      </c>
      <c r="C39" s="13"/>
      <c r="D39" s="11"/>
      <c r="E39" s="14"/>
      <c r="F39" s="13"/>
    </row>
    <row r="40" spans="2:6" s="5" customFormat="1" ht="16.5" customHeight="1">
      <c r="B40" s="7" t="s">
        <v>68</v>
      </c>
      <c r="C40" s="13"/>
      <c r="D40" s="12"/>
      <c r="E40" s="14"/>
      <c r="F40" s="13"/>
    </row>
    <row r="41" spans="3:6" s="5" customFormat="1" ht="16.5" customHeight="1">
      <c r="C41" s="13"/>
      <c r="D41" s="13"/>
      <c r="E41" s="14"/>
      <c r="F41" s="13"/>
    </row>
    <row r="42" spans="3:6" s="5" customFormat="1" ht="16.5" customHeight="1">
      <c r="C42" s="13"/>
      <c r="D42" s="13"/>
      <c r="E42" s="14"/>
      <c r="F42" s="13"/>
    </row>
    <row r="43" spans="3:6" s="5" customFormat="1" ht="16.5" customHeight="1">
      <c r="C43" s="13"/>
      <c r="D43" s="13"/>
      <c r="E43" s="14"/>
      <c r="F43" s="13"/>
    </row>
    <row r="50" spans="1:6" ht="18.75" customHeight="1">
      <c r="A50" s="215" t="s">
        <v>36</v>
      </c>
      <c r="B50" s="215"/>
      <c r="C50" s="215"/>
      <c r="D50" s="215"/>
      <c r="E50" s="215"/>
      <c r="F50" s="215"/>
    </row>
    <row r="51" spans="1:6" ht="18.75" customHeight="1">
      <c r="A51" s="215" t="s">
        <v>161</v>
      </c>
      <c r="B51" s="215"/>
      <c r="C51" s="215"/>
      <c r="D51" s="215"/>
      <c r="E51" s="215"/>
      <c r="F51" s="215"/>
    </row>
    <row r="52" spans="1:6" ht="18.75" customHeight="1">
      <c r="A52" s="216" t="s">
        <v>162</v>
      </c>
      <c r="B52" s="216"/>
      <c r="C52" s="216"/>
      <c r="D52" s="216"/>
      <c r="E52" s="216"/>
      <c r="F52" s="216"/>
    </row>
    <row r="53" spans="1:6" s="5" customFormat="1" ht="18" customHeight="1">
      <c r="A53" s="4"/>
      <c r="B53" s="4"/>
      <c r="C53" s="213" t="s">
        <v>47</v>
      </c>
      <c r="D53" s="213" t="s">
        <v>48</v>
      </c>
      <c r="E53" s="34" t="s">
        <v>49</v>
      </c>
      <c r="F53" s="34" t="s">
        <v>51</v>
      </c>
    </row>
    <row r="54" spans="1:6" s="5" customFormat="1" ht="18" customHeight="1">
      <c r="A54" s="6"/>
      <c r="B54" s="6"/>
      <c r="C54" s="214"/>
      <c r="D54" s="214"/>
      <c r="E54" s="35" t="s">
        <v>50</v>
      </c>
      <c r="F54" s="35" t="s">
        <v>52</v>
      </c>
    </row>
    <row r="55" spans="1:6" s="5" customFormat="1" ht="18" customHeight="1">
      <c r="A55" s="33" t="s">
        <v>37</v>
      </c>
      <c r="C55" s="10"/>
      <c r="D55" s="10"/>
      <c r="E55" s="8"/>
      <c r="F55" s="10"/>
    </row>
    <row r="56" spans="1:6" s="5" customFormat="1" ht="18" customHeight="1">
      <c r="A56" s="40" t="s">
        <v>2</v>
      </c>
      <c r="B56" s="31"/>
      <c r="C56" s="11"/>
      <c r="D56" s="11"/>
      <c r="E56" s="32"/>
      <c r="F56" s="11"/>
    </row>
    <row r="57" spans="1:6" s="5" customFormat="1" ht="18" customHeight="1">
      <c r="A57" s="31"/>
      <c r="B57" s="31" t="s">
        <v>38</v>
      </c>
      <c r="C57" s="11">
        <v>134619</v>
      </c>
      <c r="D57" s="11">
        <v>160270.95</v>
      </c>
      <c r="E57" s="32"/>
      <c r="F57" s="11">
        <f>SUM(D57-C57)</f>
        <v>25651.95000000001</v>
      </c>
    </row>
    <row r="58" spans="1:6" s="5" customFormat="1" ht="18" customHeight="1">
      <c r="A58" s="31"/>
      <c r="B58" s="31" t="s">
        <v>39</v>
      </c>
      <c r="C58" s="11">
        <v>28340</v>
      </c>
      <c r="D58" s="11">
        <v>85169</v>
      </c>
      <c r="E58" s="32"/>
      <c r="F58" s="11">
        <f aca="true" t="shared" si="2" ref="F58:F64">SUM(D58-C58)</f>
        <v>56829</v>
      </c>
    </row>
    <row r="59" spans="1:6" s="5" customFormat="1" ht="18" customHeight="1">
      <c r="A59" s="31"/>
      <c r="B59" s="31" t="s">
        <v>40</v>
      </c>
      <c r="C59" s="11">
        <v>53257</v>
      </c>
      <c r="D59" s="11">
        <v>58651.19</v>
      </c>
      <c r="E59" s="32"/>
      <c r="F59" s="11">
        <f t="shared" si="2"/>
        <v>5394.190000000002</v>
      </c>
    </row>
    <row r="60" spans="1:6" s="5" customFormat="1" ht="18" customHeight="1">
      <c r="A60" s="31"/>
      <c r="B60" s="31" t="s">
        <v>41</v>
      </c>
      <c r="C60" s="11">
        <v>0</v>
      </c>
      <c r="D60" s="11">
        <v>0</v>
      </c>
      <c r="E60" s="32"/>
      <c r="F60" s="11">
        <f t="shared" si="2"/>
        <v>0</v>
      </c>
    </row>
    <row r="61" spans="1:6" s="5" customFormat="1" ht="18" customHeight="1">
      <c r="A61" s="31"/>
      <c r="B61" s="31" t="s">
        <v>42</v>
      </c>
      <c r="C61" s="11">
        <v>179742</v>
      </c>
      <c r="D61" s="11">
        <v>64803.13</v>
      </c>
      <c r="E61" s="32"/>
      <c r="F61" s="11">
        <f t="shared" si="2"/>
        <v>-114938.87</v>
      </c>
    </row>
    <row r="62" spans="1:6" s="5" customFormat="1" ht="18" customHeight="1">
      <c r="A62" s="31"/>
      <c r="B62" s="31" t="s">
        <v>43</v>
      </c>
      <c r="C62" s="11">
        <v>0</v>
      </c>
      <c r="D62" s="11">
        <v>0</v>
      </c>
      <c r="E62" s="32"/>
      <c r="F62" s="11">
        <f t="shared" si="2"/>
        <v>0</v>
      </c>
    </row>
    <row r="63" spans="1:6" s="5" customFormat="1" ht="18" customHeight="1">
      <c r="A63" s="31"/>
      <c r="B63" s="31" t="s">
        <v>44</v>
      </c>
      <c r="C63" s="11">
        <v>8950072</v>
      </c>
      <c r="D63" s="11">
        <v>12501648.97</v>
      </c>
      <c r="E63" s="32"/>
      <c r="F63" s="11">
        <f t="shared" si="2"/>
        <v>3551576.9700000007</v>
      </c>
    </row>
    <row r="64" spans="1:6" s="5" customFormat="1" ht="18" customHeight="1">
      <c r="A64" s="31"/>
      <c r="B64" s="31" t="s">
        <v>45</v>
      </c>
      <c r="C64" s="11">
        <v>9370064</v>
      </c>
      <c r="D64" s="11">
        <v>6889541</v>
      </c>
      <c r="E64" s="32"/>
      <c r="F64" s="11">
        <f t="shared" si="2"/>
        <v>-2480523</v>
      </c>
    </row>
    <row r="65" spans="1:6" s="5" customFormat="1" ht="18" customHeight="1">
      <c r="A65" s="33" t="s">
        <v>46</v>
      </c>
      <c r="C65" s="17">
        <f>SUM(C57:C64)</f>
        <v>18716094</v>
      </c>
      <c r="D65" s="17">
        <f>SUM(D57:D64)</f>
        <v>19760084.240000002</v>
      </c>
      <c r="E65" s="17">
        <f>SUM(E57:E64)</f>
        <v>0</v>
      </c>
      <c r="F65" s="17">
        <f>SUM(F57:F64)</f>
        <v>1043990.2400000007</v>
      </c>
    </row>
    <row r="66" spans="2:6" s="5" customFormat="1" ht="18" customHeight="1">
      <c r="B66" s="33" t="s">
        <v>71</v>
      </c>
      <c r="C66" s="13"/>
      <c r="D66" s="17">
        <f>SUM(D65:D65)</f>
        <v>19760084.240000002</v>
      </c>
      <c r="E66" s="14"/>
      <c r="F66" s="13"/>
    </row>
    <row r="67" spans="3:6" s="5" customFormat="1" ht="18" customHeight="1">
      <c r="C67" s="13"/>
      <c r="D67" s="13"/>
      <c r="E67" s="14"/>
      <c r="F67" s="13"/>
    </row>
    <row r="68" spans="1:6" s="5" customFormat="1" ht="18" customHeight="1">
      <c r="A68" s="4"/>
      <c r="B68" s="4"/>
      <c r="C68" s="213" t="s">
        <v>47</v>
      </c>
      <c r="D68" s="213" t="s">
        <v>96</v>
      </c>
      <c r="E68" s="34" t="s">
        <v>49</v>
      </c>
      <c r="F68" s="34" t="s">
        <v>51</v>
      </c>
    </row>
    <row r="69" spans="1:6" s="5" customFormat="1" ht="18" customHeight="1">
      <c r="A69" s="6"/>
      <c r="B69" s="6"/>
      <c r="C69" s="214"/>
      <c r="D69" s="214"/>
      <c r="E69" s="35" t="s">
        <v>50</v>
      </c>
      <c r="F69" s="35" t="s">
        <v>52</v>
      </c>
    </row>
    <row r="70" spans="1:6" s="5" customFormat="1" ht="18" customHeight="1">
      <c r="A70" s="41" t="s">
        <v>53</v>
      </c>
      <c r="B70" s="4"/>
      <c r="C70" s="10"/>
      <c r="D70" s="10"/>
      <c r="E70" s="8"/>
      <c r="F70" s="10"/>
    </row>
    <row r="71" spans="1:6" s="5" customFormat="1" ht="18" customHeight="1">
      <c r="A71" s="31"/>
      <c r="B71" s="31" t="s">
        <v>54</v>
      </c>
      <c r="C71" s="11">
        <f>SUM(320261+304098)</f>
        <v>624359</v>
      </c>
      <c r="D71" s="11">
        <f>SUM(313615.3+80100)</f>
        <v>393715.3</v>
      </c>
      <c r="E71" s="32"/>
      <c r="F71" s="11">
        <f>SUM(D71-C71)</f>
        <v>-230643.7</v>
      </c>
    </row>
    <row r="72" spans="1:6" s="5" customFormat="1" ht="18" customHeight="1">
      <c r="A72" s="31"/>
      <c r="B72" s="31" t="s">
        <v>55</v>
      </c>
      <c r="C72" s="11">
        <v>2594300</v>
      </c>
      <c r="D72" s="11">
        <v>2590730</v>
      </c>
      <c r="E72" s="32"/>
      <c r="F72" s="11">
        <f aca="true" t="shared" si="3" ref="F72:F82">SUM(D72-C72)</f>
        <v>-3570</v>
      </c>
    </row>
    <row r="73" spans="1:8" s="5" customFormat="1" ht="18" customHeight="1">
      <c r="A73" s="31"/>
      <c r="B73" s="31" t="s">
        <v>56</v>
      </c>
      <c r="C73" s="11">
        <v>115440</v>
      </c>
      <c r="D73" s="11">
        <v>115440</v>
      </c>
      <c r="E73" s="32"/>
      <c r="F73" s="11">
        <f t="shared" si="3"/>
        <v>0</v>
      </c>
      <c r="H73" s="20">
        <f>SUM(D72:D73)</f>
        <v>2706170</v>
      </c>
    </row>
    <row r="74" spans="1:6" s="5" customFormat="1" ht="18" customHeight="1">
      <c r="A74" s="31"/>
      <c r="B74" s="31" t="s">
        <v>57</v>
      </c>
      <c r="C74" s="11">
        <v>897809</v>
      </c>
      <c r="D74" s="11">
        <v>897809</v>
      </c>
      <c r="E74" s="32"/>
      <c r="F74" s="11">
        <f t="shared" si="3"/>
        <v>0</v>
      </c>
    </row>
    <row r="75" spans="1:8" s="5" customFormat="1" ht="18" customHeight="1">
      <c r="A75" s="31"/>
      <c r="B75" s="31" t="s">
        <v>58</v>
      </c>
      <c r="C75" s="11">
        <v>2972730</v>
      </c>
      <c r="D75" s="11">
        <v>2894409.75</v>
      </c>
      <c r="E75" s="32"/>
      <c r="F75" s="11">
        <f t="shared" si="3"/>
        <v>-78320.25</v>
      </c>
      <c r="H75" s="20">
        <f>SUM(D75:D77)</f>
        <v>5947247.85</v>
      </c>
    </row>
    <row r="76" spans="1:6" s="5" customFormat="1" ht="18" customHeight="1">
      <c r="A76" s="31"/>
      <c r="B76" s="31" t="s">
        <v>59</v>
      </c>
      <c r="C76" s="11">
        <f>SUM(1868100+89959)</f>
        <v>1958059</v>
      </c>
      <c r="D76" s="11">
        <v>1725768.5</v>
      </c>
      <c r="E76" s="32"/>
      <c r="F76" s="11">
        <f t="shared" si="3"/>
        <v>-232290.5</v>
      </c>
    </row>
    <row r="77" spans="1:6" s="5" customFormat="1" ht="18" customHeight="1">
      <c r="A77" s="31"/>
      <c r="B77" s="31" t="s">
        <v>60</v>
      </c>
      <c r="C77" s="11">
        <f>SUM(411000+1208160)</f>
        <v>1619160</v>
      </c>
      <c r="D77" s="11">
        <f>SUM(419618.88+907450.72)</f>
        <v>1327069.6</v>
      </c>
      <c r="E77" s="32"/>
      <c r="F77" s="11">
        <f t="shared" si="3"/>
        <v>-292090.3999999999</v>
      </c>
    </row>
    <row r="78" spans="1:6" s="5" customFormat="1" ht="18" customHeight="1">
      <c r="A78" s="31"/>
      <c r="B78" s="31" t="s">
        <v>61</v>
      </c>
      <c r="C78" s="11">
        <v>273000</v>
      </c>
      <c r="D78" s="11">
        <v>153323.03</v>
      </c>
      <c r="E78" s="32"/>
      <c r="F78" s="11">
        <f t="shared" si="3"/>
        <v>-119676.97</v>
      </c>
    </row>
    <row r="79" spans="1:6" s="5" customFormat="1" ht="18" customHeight="1">
      <c r="A79" s="31"/>
      <c r="B79" s="31" t="s">
        <v>45</v>
      </c>
      <c r="C79" s="11">
        <f>SUM(61200+1731847)</f>
        <v>1793047</v>
      </c>
      <c r="D79" s="11">
        <f>SUM(53000+1685977.03)</f>
        <v>1738977.03</v>
      </c>
      <c r="E79" s="32"/>
      <c r="F79" s="11">
        <f t="shared" si="3"/>
        <v>-54069.96999999997</v>
      </c>
    </row>
    <row r="80" spans="1:6" s="5" customFormat="1" ht="18" customHeight="1">
      <c r="A80" s="31"/>
      <c r="B80" s="31" t="s">
        <v>62</v>
      </c>
      <c r="C80" s="11">
        <v>2190</v>
      </c>
      <c r="D80" s="11">
        <v>2190</v>
      </c>
      <c r="E80" s="32"/>
      <c r="F80" s="11">
        <f t="shared" si="3"/>
        <v>0</v>
      </c>
    </row>
    <row r="81" spans="1:6" s="5" customFormat="1" ht="18" customHeight="1">
      <c r="A81" s="31"/>
      <c r="B81" s="31" t="s">
        <v>63</v>
      </c>
      <c r="C81" s="11">
        <v>1652000</v>
      </c>
      <c r="D81" s="11">
        <v>0</v>
      </c>
      <c r="E81" s="32"/>
      <c r="F81" s="11">
        <f t="shared" si="3"/>
        <v>-1652000</v>
      </c>
    </row>
    <row r="82" spans="1:6" s="5" customFormat="1" ht="18" customHeight="1">
      <c r="A82" s="31"/>
      <c r="B82" s="31" t="s">
        <v>64</v>
      </c>
      <c r="C82" s="12">
        <f>20000+4194000</f>
        <v>4214000</v>
      </c>
      <c r="D82" s="12">
        <f>SUM(20000+4059000)-1500</f>
        <v>4077500</v>
      </c>
      <c r="E82" s="9"/>
      <c r="F82" s="11">
        <f t="shared" si="3"/>
        <v>-136500</v>
      </c>
    </row>
    <row r="83" spans="1:8" s="5" customFormat="1" ht="18" customHeight="1">
      <c r="A83" s="31"/>
      <c r="B83" s="43" t="s">
        <v>65</v>
      </c>
      <c r="C83" s="36">
        <f>SUM(C71:C82)</f>
        <v>18716094</v>
      </c>
      <c r="D83" s="36">
        <f>SUM(D71:D82)</f>
        <v>15916932.209999999</v>
      </c>
      <c r="E83" s="36">
        <f>SUM(E71:E82)</f>
        <v>0</v>
      </c>
      <c r="F83" s="17">
        <f>SUM(F71:F82)</f>
        <v>-2799161.79</v>
      </c>
      <c r="H83" s="21">
        <f>SUM(C83-D83)*25/100</f>
        <v>699790.4475000002</v>
      </c>
    </row>
    <row r="84" spans="2:6" s="5" customFormat="1" ht="18" customHeight="1">
      <c r="B84" s="42" t="s">
        <v>69</v>
      </c>
      <c r="C84" s="13"/>
      <c r="D84" s="17">
        <f>SUM(D83:D83)</f>
        <v>15916932.209999999</v>
      </c>
      <c r="E84" s="14"/>
      <c r="F84" s="13"/>
    </row>
    <row r="85" spans="2:6" s="5" customFormat="1" ht="18" customHeight="1">
      <c r="B85" s="7" t="s">
        <v>67</v>
      </c>
      <c r="C85" s="13"/>
      <c r="D85" s="18">
        <f>SUM(D66-D84)</f>
        <v>3843152.030000003</v>
      </c>
      <c r="E85" s="14"/>
      <c r="F85" s="13"/>
    </row>
    <row r="86" spans="2:6" s="5" customFormat="1" ht="18" customHeight="1">
      <c r="B86" s="5" t="s">
        <v>70</v>
      </c>
      <c r="C86" s="13"/>
      <c r="D86" s="11"/>
      <c r="E86" s="14"/>
      <c r="F86" s="13"/>
    </row>
    <row r="87" spans="2:6" s="5" customFormat="1" ht="18" customHeight="1">
      <c r="B87" s="7" t="s">
        <v>68</v>
      </c>
      <c r="C87" s="13"/>
      <c r="D87" s="12"/>
      <c r="E87" s="14"/>
      <c r="F87" s="13"/>
    </row>
    <row r="88" spans="3:6" s="5" customFormat="1" ht="18" customHeight="1">
      <c r="C88" s="13"/>
      <c r="D88" s="13"/>
      <c r="E88" s="14"/>
      <c r="F88" s="13"/>
    </row>
    <row r="89" spans="3:6" s="5" customFormat="1" ht="18" customHeight="1">
      <c r="C89" s="13"/>
      <c r="D89" s="13"/>
      <c r="E89" s="14"/>
      <c r="F89" s="13"/>
    </row>
    <row r="90" spans="3:6" s="5" customFormat="1" ht="18" customHeight="1">
      <c r="C90" s="13"/>
      <c r="D90" s="13"/>
      <c r="E90" s="14"/>
      <c r="F90" s="13"/>
    </row>
    <row r="91" ht="18" customHeight="1"/>
    <row r="92" ht="18" customHeight="1"/>
    <row r="93" ht="18" customHeight="1"/>
    <row r="94" ht="18" customHeight="1"/>
    <row r="95" ht="18" customHeight="1"/>
    <row r="97" spans="1:6" ht="18.75" customHeight="1">
      <c r="A97" s="208" t="s">
        <v>36</v>
      </c>
      <c r="B97" s="208"/>
      <c r="C97" s="208"/>
      <c r="D97" s="208"/>
      <c r="E97" s="208"/>
      <c r="F97" s="208"/>
    </row>
    <row r="98" spans="1:6" ht="18.75" customHeight="1">
      <c r="A98" s="208" t="s">
        <v>181</v>
      </c>
      <c r="B98" s="208"/>
      <c r="C98" s="208"/>
      <c r="D98" s="208"/>
      <c r="E98" s="208"/>
      <c r="F98" s="208"/>
    </row>
    <row r="99" spans="1:6" ht="18.75" customHeight="1">
      <c r="A99" s="210" t="s">
        <v>182</v>
      </c>
      <c r="B99" s="210"/>
      <c r="C99" s="210"/>
      <c r="D99" s="210"/>
      <c r="E99" s="210"/>
      <c r="F99" s="210"/>
    </row>
    <row r="100" spans="1:6" ht="18.75" customHeight="1">
      <c r="A100" s="122"/>
      <c r="B100" s="122"/>
      <c r="C100" s="211" t="s">
        <v>47</v>
      </c>
      <c r="D100" s="211" t="s">
        <v>48</v>
      </c>
      <c r="E100" s="123" t="s">
        <v>49</v>
      </c>
      <c r="F100" s="123" t="s">
        <v>51</v>
      </c>
    </row>
    <row r="101" spans="1:6" ht="18.75" customHeight="1">
      <c r="A101" s="124"/>
      <c r="B101" s="124"/>
      <c r="C101" s="212"/>
      <c r="D101" s="212"/>
      <c r="E101" s="125" t="s">
        <v>50</v>
      </c>
      <c r="F101" s="125" t="s">
        <v>52</v>
      </c>
    </row>
    <row r="102" spans="1:6" ht="18.75" customHeight="1">
      <c r="A102" s="126" t="s">
        <v>37</v>
      </c>
      <c r="B102" s="127"/>
      <c r="C102" s="128"/>
      <c r="D102" s="128"/>
      <c r="E102" s="129"/>
      <c r="F102" s="128"/>
    </row>
    <row r="103" spans="1:6" ht="18.75" customHeight="1">
      <c r="A103" s="130" t="s">
        <v>2</v>
      </c>
      <c r="B103" s="131"/>
      <c r="C103" s="132"/>
      <c r="D103" s="132"/>
      <c r="E103" s="133"/>
      <c r="F103" s="132"/>
    </row>
    <row r="104" spans="1:6" ht="18.75" customHeight="1">
      <c r="A104" s="131"/>
      <c r="B104" s="131" t="s">
        <v>38</v>
      </c>
      <c r="C104" s="132">
        <v>158545</v>
      </c>
      <c r="D104" s="132">
        <v>127390.75</v>
      </c>
      <c r="E104" s="133"/>
      <c r="F104" s="132">
        <f>SUM(D104-C104)</f>
        <v>-31154.25</v>
      </c>
    </row>
    <row r="105" spans="1:6" ht="18.75" customHeight="1">
      <c r="A105" s="131"/>
      <c r="B105" s="131" t="s">
        <v>39</v>
      </c>
      <c r="C105" s="132">
        <v>22400</v>
      </c>
      <c r="D105" s="132">
        <v>204649</v>
      </c>
      <c r="E105" s="133"/>
      <c r="F105" s="132">
        <f aca="true" t="shared" si="4" ref="F105:F111">SUM(D105-C105)</f>
        <v>182249</v>
      </c>
    </row>
    <row r="106" spans="1:6" ht="18.75" customHeight="1">
      <c r="A106" s="131"/>
      <c r="B106" s="131" t="s">
        <v>40</v>
      </c>
      <c r="C106" s="132">
        <v>30000</v>
      </c>
      <c r="D106" s="132">
        <v>59658.67</v>
      </c>
      <c r="E106" s="133"/>
      <c r="F106" s="132">
        <f t="shared" si="4"/>
        <v>29658.67</v>
      </c>
    </row>
    <row r="107" spans="1:6" ht="18.75" customHeight="1">
      <c r="A107" s="131"/>
      <c r="B107" s="131" t="s">
        <v>41</v>
      </c>
      <c r="C107" s="132">
        <v>0</v>
      </c>
      <c r="D107" s="132">
        <v>0</v>
      </c>
      <c r="E107" s="133"/>
      <c r="F107" s="132">
        <f t="shared" si="4"/>
        <v>0</v>
      </c>
    </row>
    <row r="108" spans="1:6" ht="18.75" customHeight="1">
      <c r="A108" s="131"/>
      <c r="B108" s="131" t="s">
        <v>42</v>
      </c>
      <c r="C108" s="132">
        <v>231998</v>
      </c>
      <c r="D108" s="132">
        <v>192853.22</v>
      </c>
      <c r="E108" s="133"/>
      <c r="F108" s="132">
        <f t="shared" si="4"/>
        <v>-39144.78</v>
      </c>
    </row>
    <row r="109" spans="1:6" ht="18.75" customHeight="1">
      <c r="A109" s="131"/>
      <c r="B109" s="131" t="s">
        <v>43</v>
      </c>
      <c r="C109" s="132">
        <v>0</v>
      </c>
      <c r="D109" s="132">
        <v>0</v>
      </c>
      <c r="E109" s="133"/>
      <c r="F109" s="132">
        <f t="shared" si="4"/>
        <v>0</v>
      </c>
    </row>
    <row r="110" spans="1:6" ht="18.75" customHeight="1">
      <c r="A110" s="131"/>
      <c r="B110" s="131" t="s">
        <v>44</v>
      </c>
      <c r="C110" s="132">
        <v>11703932</v>
      </c>
      <c r="D110" s="132">
        <v>12208448.23</v>
      </c>
      <c r="E110" s="133"/>
      <c r="F110" s="132">
        <f t="shared" si="4"/>
        <v>504516.23000000045</v>
      </c>
    </row>
    <row r="111" spans="1:6" ht="18.75" customHeight="1">
      <c r="A111" s="131"/>
      <c r="B111" s="131" t="s">
        <v>45</v>
      </c>
      <c r="C111" s="132">
        <v>9313650</v>
      </c>
      <c r="D111" s="132">
        <v>6674313</v>
      </c>
      <c r="E111" s="133"/>
      <c r="F111" s="132">
        <f t="shared" si="4"/>
        <v>-2639337</v>
      </c>
    </row>
    <row r="112" spans="1:6" ht="18.75" customHeight="1">
      <c r="A112" s="126" t="s">
        <v>46</v>
      </c>
      <c r="B112" s="127"/>
      <c r="C112" s="134">
        <f>SUM(C104:C111)</f>
        <v>21460525</v>
      </c>
      <c r="D112" s="134">
        <f>SUM(D104:D111)</f>
        <v>19467312.87</v>
      </c>
      <c r="E112" s="134">
        <f>SUM(E104:E111)</f>
        <v>0</v>
      </c>
      <c r="F112" s="134">
        <f>SUM(F104:F111)</f>
        <v>-1993212.1299999994</v>
      </c>
    </row>
    <row r="113" spans="1:6" ht="18.75" customHeight="1">
      <c r="A113" s="127"/>
      <c r="B113" s="126" t="s">
        <v>71</v>
      </c>
      <c r="C113" s="135"/>
      <c r="D113" s="134">
        <f>SUM(D112:D112)</f>
        <v>19467312.87</v>
      </c>
      <c r="E113" s="136"/>
      <c r="F113" s="135"/>
    </row>
    <row r="114" spans="1:6" ht="12" customHeight="1">
      <c r="A114" s="127"/>
      <c r="B114" s="127"/>
      <c r="C114" s="135"/>
      <c r="D114" s="135"/>
      <c r="E114" s="136"/>
      <c r="F114" s="135"/>
    </row>
    <row r="115" spans="1:6" ht="20.25">
      <c r="A115" s="122"/>
      <c r="B115" s="122"/>
      <c r="C115" s="211" t="s">
        <v>47</v>
      </c>
      <c r="D115" s="211" t="s">
        <v>96</v>
      </c>
      <c r="E115" s="123" t="s">
        <v>49</v>
      </c>
      <c r="F115" s="123" t="s">
        <v>51</v>
      </c>
    </row>
    <row r="116" spans="1:6" ht="20.25">
      <c r="A116" s="124"/>
      <c r="B116" s="124"/>
      <c r="C116" s="212"/>
      <c r="D116" s="212"/>
      <c r="E116" s="125" t="s">
        <v>50</v>
      </c>
      <c r="F116" s="125" t="s">
        <v>52</v>
      </c>
    </row>
    <row r="117" spans="1:6" ht="20.25">
      <c r="A117" s="137" t="s">
        <v>53</v>
      </c>
      <c r="B117" s="122"/>
      <c r="C117" s="128"/>
      <c r="D117" s="128"/>
      <c r="E117" s="129"/>
      <c r="F117" s="128"/>
    </row>
    <row r="118" spans="1:6" ht="20.25">
      <c r="A118" s="131"/>
      <c r="B118" s="131" t="s">
        <v>54</v>
      </c>
      <c r="C118" s="132">
        <f>SUM(1006469+4164000)</f>
        <v>5170469</v>
      </c>
      <c r="D118" s="132">
        <f>SUM('[1]รับ-จ่าย 54'!$B$935+'[1]รับ-จ่าย 54'!$B$936)</f>
        <v>2703458</v>
      </c>
      <c r="E118" s="133"/>
      <c r="F118" s="132">
        <f>SUM(D118-C118)</f>
        <v>-2467011</v>
      </c>
    </row>
    <row r="119" spans="1:6" ht="20.25">
      <c r="A119" s="131"/>
      <c r="B119" s="131" t="s">
        <v>55</v>
      </c>
      <c r="C119" s="132">
        <v>2792448</v>
      </c>
      <c r="D119" s="132">
        <f>SUM('[1]รับ-จ่าย 54'!$B$937)</f>
        <v>2619859</v>
      </c>
      <c r="E119" s="133"/>
      <c r="F119" s="132">
        <f aca="true" t="shared" si="5" ref="F119:F129">SUM(D119-C119)</f>
        <v>-172589</v>
      </c>
    </row>
    <row r="120" spans="1:6" ht="20.25">
      <c r="A120" s="131"/>
      <c r="B120" s="131" t="s">
        <v>56</v>
      </c>
      <c r="C120" s="132">
        <v>125220</v>
      </c>
      <c r="D120" s="132">
        <f>SUM('[1]รับ-จ่าย 54'!$B$938)</f>
        <v>119520</v>
      </c>
      <c r="E120" s="133"/>
      <c r="F120" s="132">
        <f t="shared" si="5"/>
        <v>-5700</v>
      </c>
    </row>
    <row r="121" spans="1:6" ht="20.25">
      <c r="A121" s="131"/>
      <c r="B121" s="131" t="s">
        <v>57</v>
      </c>
      <c r="C121" s="132">
        <v>1017168</v>
      </c>
      <c r="D121" s="132">
        <f>SUM('[1]รับ-จ่าย 54'!$B$939)</f>
        <v>995640</v>
      </c>
      <c r="E121" s="133"/>
      <c r="F121" s="132">
        <f t="shared" si="5"/>
        <v>-21528</v>
      </c>
    </row>
    <row r="122" spans="1:6" ht="20.25">
      <c r="A122" s="131"/>
      <c r="B122" s="131" t="s">
        <v>58</v>
      </c>
      <c r="C122" s="132">
        <v>3065880</v>
      </c>
      <c r="D122" s="132">
        <f>SUM('[1]รับ-จ่าย 54'!$B$940)</f>
        <v>3060771.5</v>
      </c>
      <c r="E122" s="133"/>
      <c r="F122" s="132">
        <f t="shared" si="5"/>
        <v>-5108.5</v>
      </c>
    </row>
    <row r="123" spans="1:6" ht="20.25">
      <c r="A123" s="131"/>
      <c r="B123" s="131" t="s">
        <v>59</v>
      </c>
      <c r="C123" s="132">
        <f>SUM(2601825+38000)</f>
        <v>2639825</v>
      </c>
      <c r="D123" s="132">
        <f>SUM('[1]รับ-จ่าย 54'!$B$941+'[1]รับ-จ่าย 54'!$B$942)</f>
        <v>2476283.1999999997</v>
      </c>
      <c r="E123" s="133"/>
      <c r="F123" s="132">
        <f t="shared" si="5"/>
        <v>-163541.80000000028</v>
      </c>
    </row>
    <row r="124" spans="1:6" ht="20.25">
      <c r="A124" s="131"/>
      <c r="B124" s="131" t="s">
        <v>60</v>
      </c>
      <c r="C124" s="132">
        <f>SUM(800775+851760)</f>
        <v>1652535</v>
      </c>
      <c r="D124" s="132">
        <f>SUM('[1]รับ-จ่าย 54'!$B$943+'[1]รับ-จ่าย 54'!$B$944)</f>
        <v>1481810</v>
      </c>
      <c r="E124" s="133"/>
      <c r="F124" s="132">
        <f t="shared" si="5"/>
        <v>-170725</v>
      </c>
    </row>
    <row r="125" spans="1:6" ht="20.25">
      <c r="A125" s="131"/>
      <c r="B125" s="131" t="s">
        <v>61</v>
      </c>
      <c r="C125" s="132">
        <v>284000</v>
      </c>
      <c r="D125" s="132">
        <f>SUM('[1]รับ-จ่าย 54'!$B$945)</f>
        <v>142781.05000000002</v>
      </c>
      <c r="E125" s="133"/>
      <c r="F125" s="132">
        <f t="shared" si="5"/>
        <v>-141218.94999999998</v>
      </c>
    </row>
    <row r="126" spans="1:6" ht="20.25">
      <c r="A126" s="131"/>
      <c r="B126" s="131" t="s">
        <v>45</v>
      </c>
      <c r="C126" s="132">
        <f>SUM(86000+1391890)</f>
        <v>1477890</v>
      </c>
      <c r="D126" s="132">
        <f>SUM('[1]รับ-จ่าย 54'!$B$946+'[1]รับ-จ่าย 54'!$B$947)</f>
        <v>1477890</v>
      </c>
      <c r="E126" s="133"/>
      <c r="F126" s="132">
        <f t="shared" si="5"/>
        <v>0</v>
      </c>
    </row>
    <row r="127" spans="1:6" ht="20.25">
      <c r="A127" s="131"/>
      <c r="B127" s="131" t="s">
        <v>62</v>
      </c>
      <c r="C127" s="132">
        <f>SUM(347090+52000)</f>
        <v>399090</v>
      </c>
      <c r="D127" s="132">
        <f>SUM('[1]รับ-จ่าย 54'!$B$948+'[1]รับ-จ่าย 54'!$B$949)</f>
        <v>374470</v>
      </c>
      <c r="E127" s="133"/>
      <c r="F127" s="132">
        <f t="shared" si="5"/>
        <v>-24620</v>
      </c>
    </row>
    <row r="128" spans="1:6" ht="20.25">
      <c r="A128" s="131"/>
      <c r="B128" s="131" t="s">
        <v>63</v>
      </c>
      <c r="C128" s="132">
        <v>2816000</v>
      </c>
      <c r="D128" s="132">
        <f>SUM('[2]รับ-จ่าย 54'!$B$950)</f>
        <v>2113402</v>
      </c>
      <c r="E128" s="133"/>
      <c r="F128" s="132">
        <f t="shared" si="5"/>
        <v>-702598</v>
      </c>
    </row>
    <row r="129" spans="1:6" ht="20.25">
      <c r="A129" s="131"/>
      <c r="B129" s="131" t="s">
        <v>64</v>
      </c>
      <c r="C129" s="138">
        <v>20000</v>
      </c>
      <c r="D129" s="138">
        <f>SUM('[1]รับ-จ่าย 54'!$B$951)</f>
        <v>20000</v>
      </c>
      <c r="E129" s="139"/>
      <c r="F129" s="132">
        <f t="shared" si="5"/>
        <v>0</v>
      </c>
    </row>
    <row r="130" spans="1:6" ht="20.25">
      <c r="A130" s="131"/>
      <c r="B130" s="140" t="s">
        <v>65</v>
      </c>
      <c r="C130" s="141">
        <f>SUM(C118:C129)</f>
        <v>21460525</v>
      </c>
      <c r="D130" s="141">
        <f>SUM(D118:D129)</f>
        <v>17585884.75</v>
      </c>
      <c r="E130" s="141">
        <f>SUM(E118:E129)</f>
        <v>0</v>
      </c>
      <c r="F130" s="134">
        <f>SUM(F118:F129)</f>
        <v>-3874640.2500000005</v>
      </c>
    </row>
    <row r="131" spans="1:6" ht="20.25">
      <c r="A131" s="127"/>
      <c r="B131" s="142" t="s">
        <v>69</v>
      </c>
      <c r="C131" s="135"/>
      <c r="D131" s="134">
        <f>SUM(D130:D130)</f>
        <v>17585884.75</v>
      </c>
      <c r="E131" s="136"/>
      <c r="F131" s="135"/>
    </row>
    <row r="132" spans="1:6" ht="20.25">
      <c r="A132" s="127"/>
      <c r="B132" s="143" t="s">
        <v>67</v>
      </c>
      <c r="C132" s="135"/>
      <c r="D132" s="144">
        <f>SUM(D113-D131)</f>
        <v>1881428.120000001</v>
      </c>
      <c r="E132" s="136"/>
      <c r="F132" s="135"/>
    </row>
    <row r="133" spans="1:6" ht="20.25">
      <c r="A133" s="127"/>
      <c r="B133" s="127" t="s">
        <v>70</v>
      </c>
      <c r="C133" s="135"/>
      <c r="D133" s="132"/>
      <c r="E133" s="136"/>
      <c r="F133" s="135"/>
    </row>
    <row r="134" spans="1:6" ht="20.25">
      <c r="A134" s="127"/>
      <c r="B134" s="143" t="s">
        <v>68</v>
      </c>
      <c r="C134" s="135"/>
      <c r="D134" s="138"/>
      <c r="E134" s="136"/>
      <c r="F134" s="135"/>
    </row>
    <row r="135" spans="1:6" ht="20.25">
      <c r="A135" s="127"/>
      <c r="B135" s="143"/>
      <c r="C135" s="135"/>
      <c r="D135" s="191"/>
      <c r="E135" s="136"/>
      <c r="F135" s="135"/>
    </row>
    <row r="136" spans="1:6" ht="20.25">
      <c r="A136" s="127"/>
      <c r="B136" s="127"/>
      <c r="C136" s="135"/>
      <c r="D136" s="135"/>
      <c r="E136" s="136"/>
      <c r="F136" s="135"/>
    </row>
    <row r="137" spans="1:6" ht="20.25">
      <c r="A137" s="127"/>
      <c r="B137" s="127"/>
      <c r="C137" s="135"/>
      <c r="D137" s="135"/>
      <c r="E137" s="136"/>
      <c r="F137" s="135"/>
    </row>
    <row r="138" spans="1:6" ht="20.25">
      <c r="A138" s="127"/>
      <c r="B138" s="127"/>
      <c r="C138" s="135"/>
      <c r="D138" s="135"/>
      <c r="E138" s="136"/>
      <c r="F138" s="135"/>
    </row>
    <row r="139" spans="1:6" ht="18">
      <c r="A139" s="145"/>
      <c r="B139" s="145"/>
      <c r="C139" s="146"/>
      <c r="D139" s="146"/>
      <c r="E139" s="147"/>
      <c r="F139" s="146"/>
    </row>
    <row r="140" spans="1:6" ht="18.75" customHeight="1">
      <c r="A140" s="208" t="s">
        <v>36</v>
      </c>
      <c r="B140" s="208"/>
      <c r="C140" s="208"/>
      <c r="D140" s="208"/>
      <c r="E140" s="208"/>
      <c r="F140" s="208"/>
    </row>
    <row r="141" spans="1:6" ht="18.75" customHeight="1">
      <c r="A141" s="208" t="s">
        <v>198</v>
      </c>
      <c r="B141" s="208"/>
      <c r="C141" s="208"/>
      <c r="D141" s="208"/>
      <c r="E141" s="208"/>
      <c r="F141" s="208"/>
    </row>
    <row r="142" spans="1:6" ht="18.75" customHeight="1">
      <c r="A142" s="210" t="s">
        <v>199</v>
      </c>
      <c r="B142" s="210"/>
      <c r="C142" s="210"/>
      <c r="D142" s="210"/>
      <c r="E142" s="210"/>
      <c r="F142" s="210"/>
    </row>
    <row r="143" spans="1:6" s="5" customFormat="1" ht="18.75" customHeight="1">
      <c r="A143" s="122"/>
      <c r="B143" s="122"/>
      <c r="C143" s="211" t="s">
        <v>47</v>
      </c>
      <c r="D143" s="211" t="s">
        <v>48</v>
      </c>
      <c r="E143" s="123" t="s">
        <v>49</v>
      </c>
      <c r="F143" s="123" t="s">
        <v>51</v>
      </c>
    </row>
    <row r="144" spans="1:6" s="5" customFormat="1" ht="18.75" customHeight="1">
      <c r="A144" s="124"/>
      <c r="B144" s="124"/>
      <c r="C144" s="212"/>
      <c r="D144" s="212"/>
      <c r="E144" s="125" t="s">
        <v>50</v>
      </c>
      <c r="F144" s="125" t="s">
        <v>52</v>
      </c>
    </row>
    <row r="145" spans="1:6" s="5" customFormat="1" ht="18.75" customHeight="1">
      <c r="A145" s="126" t="s">
        <v>37</v>
      </c>
      <c r="B145" s="127"/>
      <c r="C145" s="128"/>
      <c r="D145" s="128"/>
      <c r="E145" s="129"/>
      <c r="F145" s="128"/>
    </row>
    <row r="146" spans="1:6" s="5" customFormat="1" ht="18.75" customHeight="1">
      <c r="A146" s="130" t="s">
        <v>2</v>
      </c>
      <c r="B146" s="131"/>
      <c r="C146" s="132"/>
      <c r="D146" s="132"/>
      <c r="E146" s="133"/>
      <c r="F146" s="132"/>
    </row>
    <row r="147" spans="1:6" s="5" customFormat="1" ht="18.75" customHeight="1">
      <c r="A147" s="131"/>
      <c r="B147" s="131" t="s">
        <v>38</v>
      </c>
      <c r="C147" s="132">
        <v>132000</v>
      </c>
      <c r="D147" s="132">
        <v>128114.66</v>
      </c>
      <c r="E147" s="133"/>
      <c r="F147" s="132">
        <f>SUM(D147-C147)</f>
        <v>-3885.3399999999965</v>
      </c>
    </row>
    <row r="148" spans="1:6" s="5" customFormat="1" ht="18.75" customHeight="1">
      <c r="A148" s="131"/>
      <c r="B148" s="131" t="s">
        <v>39</v>
      </c>
      <c r="C148" s="132">
        <v>87000</v>
      </c>
      <c r="D148" s="132">
        <v>126244.36</v>
      </c>
      <c r="E148" s="133"/>
      <c r="F148" s="132">
        <f aca="true" t="shared" si="6" ref="F148:F154">SUM(D148-C148)</f>
        <v>39244.36</v>
      </c>
    </row>
    <row r="149" spans="1:6" s="5" customFormat="1" ht="18.75" customHeight="1">
      <c r="A149" s="131"/>
      <c r="B149" s="131" t="s">
        <v>40</v>
      </c>
      <c r="C149" s="132">
        <v>50000</v>
      </c>
      <c r="D149" s="132">
        <v>190817.39</v>
      </c>
      <c r="E149" s="133"/>
      <c r="F149" s="132">
        <f t="shared" si="6"/>
        <v>140817.39</v>
      </c>
    </row>
    <row r="150" spans="1:6" s="5" customFormat="1" ht="18.75" customHeight="1">
      <c r="A150" s="131"/>
      <c r="B150" s="131" t="s">
        <v>41</v>
      </c>
      <c r="C150" s="132">
        <v>0</v>
      </c>
      <c r="D150" s="132">
        <v>0</v>
      </c>
      <c r="E150" s="133"/>
      <c r="F150" s="132">
        <f t="shared" si="6"/>
        <v>0</v>
      </c>
    </row>
    <row r="151" spans="1:6" s="5" customFormat="1" ht="18.75" customHeight="1">
      <c r="A151" s="131"/>
      <c r="B151" s="131" t="s">
        <v>42</v>
      </c>
      <c r="C151" s="132">
        <v>250000</v>
      </c>
      <c r="D151" s="132">
        <v>64068.99</v>
      </c>
      <c r="E151" s="133"/>
      <c r="F151" s="132">
        <f t="shared" si="6"/>
        <v>-185931.01</v>
      </c>
    </row>
    <row r="152" spans="1:6" s="5" customFormat="1" ht="18.75" customHeight="1">
      <c r="A152" s="131"/>
      <c r="B152" s="131" t="s">
        <v>43</v>
      </c>
      <c r="C152" s="132">
        <v>0</v>
      </c>
      <c r="D152" s="132">
        <v>0</v>
      </c>
      <c r="E152" s="133"/>
      <c r="F152" s="132">
        <f t="shared" si="6"/>
        <v>0</v>
      </c>
    </row>
    <row r="153" spans="1:6" s="5" customFormat="1" ht="18.75" customHeight="1">
      <c r="A153" s="131"/>
      <c r="B153" s="131" t="s">
        <v>44</v>
      </c>
      <c r="C153" s="132">
        <v>12524000</v>
      </c>
      <c r="D153" s="132">
        <v>13106354.9</v>
      </c>
      <c r="E153" s="133"/>
      <c r="F153" s="132">
        <f t="shared" si="6"/>
        <v>582354.9000000004</v>
      </c>
    </row>
    <row r="154" spans="1:6" s="5" customFormat="1" ht="18.75" customHeight="1">
      <c r="A154" s="131"/>
      <c r="B154" s="131" t="s">
        <v>45</v>
      </c>
      <c r="C154" s="132">
        <v>8500000</v>
      </c>
      <c r="D154" s="132">
        <v>7615059</v>
      </c>
      <c r="E154" s="133"/>
      <c r="F154" s="132">
        <f t="shared" si="6"/>
        <v>-884941</v>
      </c>
    </row>
    <row r="155" spans="1:6" s="5" customFormat="1" ht="18.75" customHeight="1">
      <c r="A155" s="126" t="s">
        <v>46</v>
      </c>
      <c r="B155" s="127"/>
      <c r="C155" s="134">
        <f>SUM(C147:C154)</f>
        <v>21543000</v>
      </c>
      <c r="D155" s="134">
        <f>SUM(D147:D154)</f>
        <v>21230659.3</v>
      </c>
      <c r="E155" s="134">
        <f>SUM(E147:E154)</f>
        <v>0</v>
      </c>
      <c r="F155" s="134">
        <f>SUM(F147:F154)</f>
        <v>-312340.6999999996</v>
      </c>
    </row>
    <row r="156" spans="1:6" s="5" customFormat="1" ht="18.75" customHeight="1">
      <c r="A156" s="127"/>
      <c r="B156" s="126" t="s">
        <v>71</v>
      </c>
      <c r="C156" s="135"/>
      <c r="D156" s="134">
        <f>SUM(D155:D155)</f>
        <v>21230659.3</v>
      </c>
      <c r="E156" s="136"/>
      <c r="F156" s="135"/>
    </row>
    <row r="157" spans="1:6" s="5" customFormat="1" ht="12" customHeight="1">
      <c r="A157" s="127"/>
      <c r="B157" s="127"/>
      <c r="C157" s="135"/>
      <c r="D157" s="135"/>
      <c r="E157" s="136"/>
      <c r="F157" s="135"/>
    </row>
    <row r="158" spans="1:6" s="5" customFormat="1" ht="20.25">
      <c r="A158" s="122"/>
      <c r="B158" s="122"/>
      <c r="C158" s="211" t="s">
        <v>47</v>
      </c>
      <c r="D158" s="211" t="s">
        <v>96</v>
      </c>
      <c r="E158" s="123" t="s">
        <v>49</v>
      </c>
      <c r="F158" s="123" t="s">
        <v>51</v>
      </c>
    </row>
    <row r="159" spans="1:6" s="5" customFormat="1" ht="20.25">
      <c r="A159" s="124"/>
      <c r="B159" s="124"/>
      <c r="C159" s="212"/>
      <c r="D159" s="212"/>
      <c r="E159" s="125" t="s">
        <v>50</v>
      </c>
      <c r="F159" s="125" t="s">
        <v>52</v>
      </c>
    </row>
    <row r="160" spans="1:6" s="5" customFormat="1" ht="20.25">
      <c r="A160" s="137" t="s">
        <v>53</v>
      </c>
      <c r="B160" s="122"/>
      <c r="C160" s="128"/>
      <c r="D160" s="128"/>
      <c r="E160" s="129"/>
      <c r="F160" s="128"/>
    </row>
    <row r="161" spans="1:6" s="5" customFormat="1" ht="20.25">
      <c r="A161" s="131"/>
      <c r="B161" s="131" t="s">
        <v>54</v>
      </c>
      <c r="C161" s="132">
        <f>SUM(992910+795768)</f>
        <v>1788678</v>
      </c>
      <c r="D161" s="132">
        <f>SUM(619261+305860)</f>
        <v>925121</v>
      </c>
      <c r="E161" s="133"/>
      <c r="F161" s="132">
        <f>SUM(D161-C161)</f>
        <v>-863557</v>
      </c>
    </row>
    <row r="162" spans="1:6" s="5" customFormat="1" ht="20.25">
      <c r="A162" s="131"/>
      <c r="B162" s="131" t="s">
        <v>55</v>
      </c>
      <c r="C162" s="132">
        <v>3433312</v>
      </c>
      <c r="D162" s="132">
        <v>2951345</v>
      </c>
      <c r="E162" s="133"/>
      <c r="F162" s="132">
        <f aca="true" t="shared" si="7" ref="F162:F172">SUM(D162-C162)</f>
        <v>-481967</v>
      </c>
    </row>
    <row r="163" spans="1:6" s="5" customFormat="1" ht="20.25">
      <c r="A163" s="131"/>
      <c r="B163" s="131" t="s">
        <v>56</v>
      </c>
      <c r="C163" s="132">
        <v>137960</v>
      </c>
      <c r="D163" s="132">
        <v>133680</v>
      </c>
      <c r="E163" s="133"/>
      <c r="F163" s="132">
        <f t="shared" si="7"/>
        <v>-4280</v>
      </c>
    </row>
    <row r="164" spans="1:6" s="5" customFormat="1" ht="20.25">
      <c r="A164" s="131"/>
      <c r="B164" s="131" t="s">
        <v>57</v>
      </c>
      <c r="C164" s="132">
        <v>1146480</v>
      </c>
      <c r="D164" s="132">
        <v>1052460</v>
      </c>
      <c r="E164" s="133"/>
      <c r="F164" s="132">
        <f t="shared" si="7"/>
        <v>-94020</v>
      </c>
    </row>
    <row r="165" spans="1:6" s="5" customFormat="1" ht="20.25">
      <c r="A165" s="131"/>
      <c r="B165" s="131" t="s">
        <v>58</v>
      </c>
      <c r="C165" s="132">
        <f>SUM(3717830+117100)</f>
        <v>3834930</v>
      </c>
      <c r="D165" s="132">
        <f>SUM(2489809+12700)</f>
        <v>2502509</v>
      </c>
      <c r="E165" s="133"/>
      <c r="F165" s="132">
        <f t="shared" si="7"/>
        <v>-1332421</v>
      </c>
    </row>
    <row r="166" spans="1:6" s="5" customFormat="1" ht="20.25">
      <c r="A166" s="131"/>
      <c r="B166" s="131" t="s">
        <v>59</v>
      </c>
      <c r="C166" s="132">
        <f>SUM(2142825+1619400)</f>
        <v>3762225</v>
      </c>
      <c r="D166" s="132">
        <f>SUM(1966179.85+902220)</f>
        <v>2868399.85</v>
      </c>
      <c r="E166" s="133"/>
      <c r="F166" s="132">
        <f t="shared" si="7"/>
        <v>-893825.1499999999</v>
      </c>
    </row>
    <row r="167" spans="1:6" s="5" customFormat="1" ht="20.25">
      <c r="A167" s="131"/>
      <c r="B167" s="131" t="s">
        <v>60</v>
      </c>
      <c r="C167" s="132">
        <f>SUM(638675+986240)</f>
        <v>1624915</v>
      </c>
      <c r="D167" s="132">
        <f>SUM(501018+875597.56)</f>
        <v>1376615.56</v>
      </c>
      <c r="E167" s="133"/>
      <c r="F167" s="132">
        <f t="shared" si="7"/>
        <v>-248299.43999999994</v>
      </c>
    </row>
    <row r="168" spans="1:6" s="5" customFormat="1" ht="20.25">
      <c r="A168" s="131"/>
      <c r="B168" s="131" t="s">
        <v>61</v>
      </c>
      <c r="C168" s="132">
        <f>SUM(250000+218000)</f>
        <v>468000</v>
      </c>
      <c r="D168" s="132">
        <f>SUM(233060.46+188446.47)</f>
        <v>421506.93</v>
      </c>
      <c r="E168" s="133"/>
      <c r="F168" s="132">
        <f t="shared" si="7"/>
        <v>-46493.07000000001</v>
      </c>
    </row>
    <row r="169" spans="1:6" s="5" customFormat="1" ht="20.25">
      <c r="A169" s="131"/>
      <c r="B169" s="131" t="s">
        <v>45</v>
      </c>
      <c r="C169" s="132">
        <f>SUM(147000+2018900)</f>
        <v>2165900</v>
      </c>
      <c r="D169" s="132">
        <f>SUM(69000+1704757.22)</f>
        <v>1773757.22</v>
      </c>
      <c r="E169" s="133"/>
      <c r="F169" s="132">
        <f t="shared" si="7"/>
        <v>-392142.78</v>
      </c>
    </row>
    <row r="170" spans="1:6" s="5" customFormat="1" ht="20.25">
      <c r="A170" s="131"/>
      <c r="B170" s="131" t="s">
        <v>62</v>
      </c>
      <c r="C170" s="132">
        <f>SUM(457600+745000)</f>
        <v>1202600</v>
      </c>
      <c r="D170" s="132">
        <f>SUM(317240+715000)</f>
        <v>1032240</v>
      </c>
      <c r="E170" s="133"/>
      <c r="F170" s="132">
        <f t="shared" si="7"/>
        <v>-170360</v>
      </c>
    </row>
    <row r="171" spans="1:6" s="5" customFormat="1" ht="20.25">
      <c r="A171" s="131"/>
      <c r="B171" s="131" t="s">
        <v>63</v>
      </c>
      <c r="C171" s="132">
        <v>1956000</v>
      </c>
      <c r="D171" s="132">
        <v>529530</v>
      </c>
      <c r="E171" s="133"/>
      <c r="F171" s="132">
        <f t="shared" si="7"/>
        <v>-1426470</v>
      </c>
    </row>
    <row r="172" spans="1:6" s="5" customFormat="1" ht="20.25">
      <c r="A172" s="131"/>
      <c r="B172" s="131" t="s">
        <v>64</v>
      </c>
      <c r="C172" s="138">
        <v>22000</v>
      </c>
      <c r="D172" s="138">
        <v>20000</v>
      </c>
      <c r="E172" s="139"/>
      <c r="F172" s="132">
        <f t="shared" si="7"/>
        <v>-2000</v>
      </c>
    </row>
    <row r="173" spans="1:6" s="5" customFormat="1" ht="20.25">
      <c r="A173" s="131"/>
      <c r="B173" s="140" t="s">
        <v>65</v>
      </c>
      <c r="C173" s="141">
        <f>SUM(C161:C172)</f>
        <v>21543000</v>
      </c>
      <c r="D173" s="141">
        <f>SUM(D161:D172)</f>
        <v>15587164.56</v>
      </c>
      <c r="E173" s="141">
        <f>SUM(E161:E172)</f>
        <v>0</v>
      </c>
      <c r="F173" s="134">
        <f>SUM(F161:F172)</f>
        <v>-5955835.4399999995</v>
      </c>
    </row>
    <row r="174" spans="1:6" s="5" customFormat="1" ht="20.25">
      <c r="A174" s="127"/>
      <c r="B174" s="142" t="s">
        <v>69</v>
      </c>
      <c r="C174" s="135"/>
      <c r="D174" s="134">
        <f>SUM(D173:D173)</f>
        <v>15587164.56</v>
      </c>
      <c r="E174" s="136"/>
      <c r="F174" s="135"/>
    </row>
    <row r="175" spans="1:6" s="5" customFormat="1" ht="20.25">
      <c r="A175" s="127"/>
      <c r="B175" s="143" t="s">
        <v>67</v>
      </c>
      <c r="C175" s="135"/>
      <c r="D175" s="144">
        <f>SUM(D156-D174)</f>
        <v>5643494.74</v>
      </c>
      <c r="E175" s="136"/>
      <c r="F175" s="135"/>
    </row>
    <row r="176" spans="1:6" s="5" customFormat="1" ht="20.25">
      <c r="A176" s="127"/>
      <c r="B176" s="127" t="s">
        <v>70</v>
      </c>
      <c r="C176" s="135"/>
      <c r="D176" s="132"/>
      <c r="E176" s="136"/>
      <c r="F176" s="135"/>
    </row>
    <row r="177" spans="1:6" s="5" customFormat="1" ht="20.25">
      <c r="A177" s="127"/>
      <c r="B177" s="143" t="s">
        <v>68</v>
      </c>
      <c r="C177" s="135"/>
      <c r="D177" s="138"/>
      <c r="E177" s="136"/>
      <c r="F177" s="135"/>
    </row>
    <row r="178" spans="1:6" s="5" customFormat="1" ht="20.25">
      <c r="A178" s="127"/>
      <c r="B178" s="143"/>
      <c r="C178" s="135"/>
      <c r="D178" s="191"/>
      <c r="E178" s="136"/>
      <c r="F178" s="135"/>
    </row>
    <row r="179" spans="1:6" s="5" customFormat="1" ht="20.25">
      <c r="A179" s="127"/>
      <c r="B179" s="127"/>
      <c r="C179" s="135"/>
      <c r="D179" s="135"/>
      <c r="E179" s="136"/>
      <c r="F179" s="135"/>
    </row>
    <row r="180" spans="1:6" s="5" customFormat="1" ht="20.25">
      <c r="A180" s="127"/>
      <c r="B180" s="127"/>
      <c r="C180" s="135"/>
      <c r="D180" s="135"/>
      <c r="E180" s="136"/>
      <c r="F180" s="135"/>
    </row>
    <row r="181" spans="1:6" s="5" customFormat="1" ht="20.25">
      <c r="A181" s="127"/>
      <c r="B181" s="127"/>
      <c r="C181" s="135"/>
      <c r="D181" s="135"/>
      <c r="E181" s="136"/>
      <c r="F181" s="135"/>
    </row>
    <row r="182" spans="1:6" ht="21">
      <c r="A182" s="71"/>
      <c r="B182" s="71"/>
      <c r="C182" s="75"/>
      <c r="D182" s="75"/>
      <c r="E182" s="202"/>
      <c r="F182" s="75"/>
    </row>
    <row r="183" spans="1:6" ht="19.5" customHeight="1">
      <c r="A183" s="208" t="s">
        <v>36</v>
      </c>
      <c r="B183" s="208"/>
      <c r="C183" s="208"/>
      <c r="D183" s="208"/>
      <c r="E183" s="208"/>
      <c r="F183" s="208"/>
    </row>
    <row r="184" spans="1:6" ht="19.5" customHeight="1">
      <c r="A184" s="208" t="s">
        <v>198</v>
      </c>
      <c r="B184" s="208"/>
      <c r="C184" s="208"/>
      <c r="D184" s="208"/>
      <c r="E184" s="208"/>
      <c r="F184" s="208"/>
    </row>
    <row r="185" spans="1:6" ht="19.5" customHeight="1">
      <c r="A185" s="210" t="s">
        <v>199</v>
      </c>
      <c r="B185" s="210"/>
      <c r="C185" s="210"/>
      <c r="D185" s="210"/>
      <c r="E185" s="210"/>
      <c r="F185" s="210"/>
    </row>
    <row r="186" spans="1:6" ht="19.5" customHeight="1">
      <c r="A186" s="122"/>
      <c r="B186" s="122"/>
      <c r="C186" s="211" t="s">
        <v>47</v>
      </c>
      <c r="D186" s="211" t="s">
        <v>48</v>
      </c>
      <c r="E186" s="123" t="s">
        <v>49</v>
      </c>
      <c r="F186" s="123" t="s">
        <v>51</v>
      </c>
    </row>
    <row r="187" spans="1:6" ht="19.5" customHeight="1">
      <c r="A187" s="124"/>
      <c r="B187" s="124"/>
      <c r="C187" s="212"/>
      <c r="D187" s="212"/>
      <c r="E187" s="125" t="s">
        <v>50</v>
      </c>
      <c r="F187" s="125" t="s">
        <v>52</v>
      </c>
    </row>
    <row r="188" spans="1:6" ht="19.5" customHeight="1">
      <c r="A188" s="126" t="s">
        <v>37</v>
      </c>
      <c r="B188" s="127"/>
      <c r="C188" s="128"/>
      <c r="D188" s="128"/>
      <c r="E188" s="129"/>
      <c r="F188" s="128"/>
    </row>
    <row r="189" spans="1:6" ht="19.5" customHeight="1">
      <c r="A189" s="130" t="s">
        <v>2</v>
      </c>
      <c r="B189" s="131"/>
      <c r="C189" s="132"/>
      <c r="D189" s="132"/>
      <c r="E189" s="133"/>
      <c r="F189" s="132"/>
    </row>
    <row r="190" spans="1:6" ht="19.5" customHeight="1">
      <c r="A190" s="131"/>
      <c r="B190" s="131" t="s">
        <v>38</v>
      </c>
      <c r="C190" s="132">
        <v>132000</v>
      </c>
      <c r="D190" s="132">
        <v>128114.66</v>
      </c>
      <c r="E190" s="133" t="s">
        <v>50</v>
      </c>
      <c r="F190" s="132">
        <f>SUM(D190-C190)</f>
        <v>-3885.3399999999965</v>
      </c>
    </row>
    <row r="191" spans="1:6" ht="19.5" customHeight="1">
      <c r="A191" s="131"/>
      <c r="B191" s="131" t="s">
        <v>39</v>
      </c>
      <c r="C191" s="132">
        <v>87000</v>
      </c>
      <c r="D191" s="132">
        <v>126244.36</v>
      </c>
      <c r="E191" s="133" t="s">
        <v>49</v>
      </c>
      <c r="F191" s="132">
        <f aca="true" t="shared" si="8" ref="F191:F197">SUM(D191-C191)</f>
        <v>39244.36</v>
      </c>
    </row>
    <row r="192" spans="1:6" ht="19.5" customHeight="1">
      <c r="A192" s="131"/>
      <c r="B192" s="131" t="s">
        <v>40</v>
      </c>
      <c r="C192" s="132">
        <v>50000</v>
      </c>
      <c r="D192" s="132">
        <v>190817.39</v>
      </c>
      <c r="E192" s="133" t="s">
        <v>49</v>
      </c>
      <c r="F192" s="132">
        <f t="shared" si="8"/>
        <v>140817.39</v>
      </c>
    </row>
    <row r="193" spans="1:6" ht="19.5" customHeight="1">
      <c r="A193" s="131"/>
      <c r="B193" s="131" t="s">
        <v>41</v>
      </c>
      <c r="C193" s="132">
        <v>0</v>
      </c>
      <c r="D193" s="132">
        <v>0</v>
      </c>
      <c r="E193" s="133"/>
      <c r="F193" s="132">
        <f t="shared" si="8"/>
        <v>0</v>
      </c>
    </row>
    <row r="194" spans="1:6" ht="19.5" customHeight="1">
      <c r="A194" s="131"/>
      <c r="B194" s="131" t="s">
        <v>42</v>
      </c>
      <c r="C194" s="132">
        <v>250000</v>
      </c>
      <c r="D194" s="132">
        <v>64068.99</v>
      </c>
      <c r="E194" s="133" t="s">
        <v>50</v>
      </c>
      <c r="F194" s="132">
        <f t="shared" si="8"/>
        <v>-185931.01</v>
      </c>
    </row>
    <row r="195" spans="1:6" ht="19.5" customHeight="1">
      <c r="A195" s="131"/>
      <c r="B195" s="131" t="s">
        <v>43</v>
      </c>
      <c r="C195" s="132">
        <v>0</v>
      </c>
      <c r="D195" s="132">
        <v>0</v>
      </c>
      <c r="E195" s="133"/>
      <c r="F195" s="132">
        <f t="shared" si="8"/>
        <v>0</v>
      </c>
    </row>
    <row r="196" spans="1:6" ht="19.5" customHeight="1">
      <c r="A196" s="131"/>
      <c r="B196" s="131" t="s">
        <v>44</v>
      </c>
      <c r="C196" s="132">
        <v>12524000</v>
      </c>
      <c r="D196" s="132">
        <v>13106354.9</v>
      </c>
      <c r="E196" s="133" t="s">
        <v>49</v>
      </c>
      <c r="F196" s="132">
        <f t="shared" si="8"/>
        <v>582354.9000000004</v>
      </c>
    </row>
    <row r="197" spans="1:6" ht="19.5" customHeight="1">
      <c r="A197" s="131"/>
      <c r="B197" s="131" t="s">
        <v>45</v>
      </c>
      <c r="C197" s="132">
        <v>8500000</v>
      </c>
      <c r="D197" s="132">
        <v>7615059</v>
      </c>
      <c r="E197" s="133" t="s">
        <v>50</v>
      </c>
      <c r="F197" s="132">
        <f t="shared" si="8"/>
        <v>-884941</v>
      </c>
    </row>
    <row r="198" spans="1:6" ht="19.5" customHeight="1">
      <c r="A198" s="126" t="s">
        <v>46</v>
      </c>
      <c r="B198" s="127"/>
      <c r="C198" s="134">
        <f>SUM(C190:C197)</f>
        <v>21543000</v>
      </c>
      <c r="D198" s="134">
        <f>SUM(D190:D197)</f>
        <v>21230659.3</v>
      </c>
      <c r="E198" s="134" t="s">
        <v>50</v>
      </c>
      <c r="F198" s="134">
        <f>SUM(F190:F197)</f>
        <v>-312340.6999999996</v>
      </c>
    </row>
    <row r="199" spans="1:6" ht="19.5" customHeight="1">
      <c r="A199" s="127"/>
      <c r="B199" s="126" t="s">
        <v>71</v>
      </c>
      <c r="C199" s="135"/>
      <c r="D199" s="134">
        <f>SUM(D198:D198)</f>
        <v>21230659.3</v>
      </c>
      <c r="E199" s="136"/>
      <c r="F199" s="135"/>
    </row>
    <row r="200" spans="1:6" ht="19.5" customHeight="1">
      <c r="A200" s="127"/>
      <c r="B200" s="127"/>
      <c r="C200" s="135"/>
      <c r="D200" s="135"/>
      <c r="E200" s="136"/>
      <c r="F200" s="135"/>
    </row>
    <row r="201" spans="1:6" ht="19.5" customHeight="1">
      <c r="A201" s="122"/>
      <c r="B201" s="122"/>
      <c r="C201" s="211" t="s">
        <v>47</v>
      </c>
      <c r="D201" s="211" t="s">
        <v>96</v>
      </c>
      <c r="E201" s="123" t="s">
        <v>49</v>
      </c>
      <c r="F201" s="123" t="s">
        <v>51</v>
      </c>
    </row>
    <row r="202" spans="1:6" ht="19.5" customHeight="1">
      <c r="A202" s="124"/>
      <c r="B202" s="124"/>
      <c r="C202" s="212"/>
      <c r="D202" s="212"/>
      <c r="E202" s="125" t="s">
        <v>50</v>
      </c>
      <c r="F202" s="125" t="s">
        <v>52</v>
      </c>
    </row>
    <row r="203" spans="1:6" ht="19.5" customHeight="1">
      <c r="A203" s="137" t="s">
        <v>53</v>
      </c>
      <c r="B203" s="122"/>
      <c r="C203" s="128"/>
      <c r="D203" s="128"/>
      <c r="E203" s="129"/>
      <c r="F203" s="128"/>
    </row>
    <row r="204" spans="1:6" ht="19.5" customHeight="1">
      <c r="A204" s="131"/>
      <c r="B204" s="131" t="s">
        <v>54</v>
      </c>
      <c r="C204" s="132">
        <f>SUM(992910+968264)</f>
        <v>1961174</v>
      </c>
      <c r="D204" s="132">
        <f>SUM(619261+305860)</f>
        <v>925121</v>
      </c>
      <c r="E204" s="133" t="s">
        <v>50</v>
      </c>
      <c r="F204" s="132">
        <f>SUM(D204-C204)</f>
        <v>-1036053</v>
      </c>
    </row>
    <row r="205" spans="1:6" ht="19.5" customHeight="1">
      <c r="A205" s="131"/>
      <c r="B205" s="131" t="s">
        <v>55</v>
      </c>
      <c r="C205" s="132">
        <v>3432516</v>
      </c>
      <c r="D205" s="132">
        <f>2951345+796</f>
        <v>2952141</v>
      </c>
      <c r="E205" s="133" t="s">
        <v>50</v>
      </c>
      <c r="F205" s="132">
        <f aca="true" t="shared" si="9" ref="F205:F215">SUM(D205-C205)</f>
        <v>-480375</v>
      </c>
    </row>
    <row r="206" spans="1:6" ht="19.5" customHeight="1">
      <c r="A206" s="131"/>
      <c r="B206" s="131" t="s">
        <v>56</v>
      </c>
      <c r="C206" s="132">
        <v>133960</v>
      </c>
      <c r="D206" s="132">
        <v>133680</v>
      </c>
      <c r="E206" s="133" t="s">
        <v>50</v>
      </c>
      <c r="F206" s="132">
        <f t="shared" si="9"/>
        <v>-280</v>
      </c>
    </row>
    <row r="207" spans="1:6" ht="19.5" customHeight="1">
      <c r="A207" s="131"/>
      <c r="B207" s="131" t="s">
        <v>57</v>
      </c>
      <c r="C207" s="132">
        <v>1129480</v>
      </c>
      <c r="D207" s="132">
        <v>1052460</v>
      </c>
      <c r="E207" s="133" t="s">
        <v>50</v>
      </c>
      <c r="F207" s="132">
        <f t="shared" si="9"/>
        <v>-77020</v>
      </c>
    </row>
    <row r="208" spans="1:6" ht="19.5" customHeight="1">
      <c r="A208" s="131"/>
      <c r="B208" s="131" t="s">
        <v>58</v>
      </c>
      <c r="C208" s="132">
        <f>SUM(3717830+109900)</f>
        <v>3827730</v>
      </c>
      <c r="D208" s="132">
        <f>SUM(2489809+12700)+797641</f>
        <v>3300150</v>
      </c>
      <c r="E208" s="133" t="s">
        <v>50</v>
      </c>
      <c r="F208" s="132">
        <f t="shared" si="9"/>
        <v>-527580</v>
      </c>
    </row>
    <row r="209" spans="1:6" ht="19.5" customHeight="1">
      <c r="A209" s="131"/>
      <c r="B209" s="131" t="s">
        <v>59</v>
      </c>
      <c r="C209" s="132">
        <f>SUM(2142825+1490900)</f>
        <v>3633725</v>
      </c>
      <c r="D209" s="132">
        <f>SUM(1966179.85+902220)+37310</f>
        <v>2905709.85</v>
      </c>
      <c r="E209" s="133" t="s">
        <v>50</v>
      </c>
      <c r="F209" s="132">
        <f t="shared" si="9"/>
        <v>-728015.1499999999</v>
      </c>
    </row>
    <row r="210" spans="1:6" ht="19.5" customHeight="1">
      <c r="A210" s="131"/>
      <c r="B210" s="131" t="s">
        <v>60</v>
      </c>
      <c r="C210" s="132">
        <f>SUM(638675+971240)</f>
        <v>1609915</v>
      </c>
      <c r="D210" s="132">
        <f>SUM(501018+875597.56)</f>
        <v>1376615.56</v>
      </c>
      <c r="E210" s="133" t="s">
        <v>50</v>
      </c>
      <c r="F210" s="132">
        <f t="shared" si="9"/>
        <v>-233299.43999999994</v>
      </c>
    </row>
    <row r="211" spans="1:6" ht="19.5" customHeight="1">
      <c r="A211" s="131"/>
      <c r="B211" s="131" t="s">
        <v>61</v>
      </c>
      <c r="C211" s="132">
        <f>SUM(250000+218000)</f>
        <v>468000</v>
      </c>
      <c r="D211" s="132">
        <f>SUM(233060.46+188446.47)</f>
        <v>421506.93</v>
      </c>
      <c r="E211" s="133" t="s">
        <v>50</v>
      </c>
      <c r="F211" s="132">
        <f t="shared" si="9"/>
        <v>-46493.07000000001</v>
      </c>
    </row>
    <row r="212" spans="1:6" ht="19.5" customHeight="1">
      <c r="A212" s="131"/>
      <c r="B212" s="131" t="s">
        <v>45</v>
      </c>
      <c r="C212" s="132">
        <f>SUM(147000+2018900)</f>
        <v>2165900</v>
      </c>
      <c r="D212" s="132">
        <f>SUM(69000+1704757.22)</f>
        <v>1773757.22</v>
      </c>
      <c r="E212" s="133" t="s">
        <v>50</v>
      </c>
      <c r="F212" s="132">
        <f t="shared" si="9"/>
        <v>-392142.78</v>
      </c>
    </row>
    <row r="213" spans="1:6" ht="19.5" customHeight="1">
      <c r="A213" s="131"/>
      <c r="B213" s="131" t="s">
        <v>62</v>
      </c>
      <c r="C213" s="132">
        <f>SUM(457600+745000)</f>
        <v>1202600</v>
      </c>
      <c r="D213" s="132">
        <f>SUM(317240+715000)</f>
        <v>1032240</v>
      </c>
      <c r="E213" s="133" t="s">
        <v>50</v>
      </c>
      <c r="F213" s="132">
        <f t="shared" si="9"/>
        <v>-170360</v>
      </c>
    </row>
    <row r="214" spans="1:6" ht="19.5" customHeight="1">
      <c r="A214" s="131"/>
      <c r="B214" s="131" t="s">
        <v>63</v>
      </c>
      <c r="C214" s="132">
        <v>1956000</v>
      </c>
      <c r="D214" s="132">
        <f>529530+391970</f>
        <v>921500</v>
      </c>
      <c r="E214" s="133" t="s">
        <v>50</v>
      </c>
      <c r="F214" s="132">
        <f t="shared" si="9"/>
        <v>-1034500</v>
      </c>
    </row>
    <row r="215" spans="1:6" ht="19.5" customHeight="1">
      <c r="A215" s="131"/>
      <c r="B215" s="131" t="s">
        <v>64</v>
      </c>
      <c r="C215" s="138">
        <v>22000</v>
      </c>
      <c r="D215" s="138">
        <v>20000</v>
      </c>
      <c r="E215" s="139" t="s">
        <v>50</v>
      </c>
      <c r="F215" s="132">
        <f t="shared" si="9"/>
        <v>-2000</v>
      </c>
    </row>
    <row r="216" spans="1:6" ht="19.5" customHeight="1">
      <c r="A216" s="131"/>
      <c r="B216" s="140" t="s">
        <v>65</v>
      </c>
      <c r="C216" s="141">
        <f>SUM(C204:C215)</f>
        <v>21543000</v>
      </c>
      <c r="D216" s="141">
        <f>SUM(D204:D215)</f>
        <v>16814881.560000002</v>
      </c>
      <c r="E216" s="141"/>
      <c r="F216" s="134">
        <f>SUM(F204:F215)</f>
        <v>-4728118.4399999995</v>
      </c>
    </row>
    <row r="217" spans="1:6" ht="19.5" customHeight="1">
      <c r="A217" s="127"/>
      <c r="B217" s="142" t="s">
        <v>69</v>
      </c>
      <c r="C217" s="135"/>
      <c r="D217" s="134">
        <f>SUM(D216:D216)</f>
        <v>16814881.560000002</v>
      </c>
      <c r="E217" s="136"/>
      <c r="F217" s="135"/>
    </row>
    <row r="218" spans="1:6" ht="19.5" customHeight="1">
      <c r="A218" s="127"/>
      <c r="B218" s="143" t="s">
        <v>67</v>
      </c>
      <c r="C218" s="135"/>
      <c r="D218" s="144">
        <f>SUM(D199-D217)</f>
        <v>4415777.739999998</v>
      </c>
      <c r="E218" s="136"/>
      <c r="F218" s="135"/>
    </row>
    <row r="219" spans="1:6" ht="19.5" customHeight="1">
      <c r="A219" s="127"/>
      <c r="B219" s="127" t="s">
        <v>70</v>
      </c>
      <c r="C219" s="135"/>
      <c r="D219" s="132"/>
      <c r="E219" s="136"/>
      <c r="F219" s="135"/>
    </row>
    <row r="220" spans="1:6" ht="19.5" customHeight="1">
      <c r="A220" s="127"/>
      <c r="B220" s="143" t="s">
        <v>68</v>
      </c>
      <c r="C220" s="135"/>
      <c r="D220" s="138"/>
      <c r="E220" s="136"/>
      <c r="F220" s="135"/>
    </row>
    <row r="221" spans="1:6" ht="19.5" customHeight="1">
      <c r="A221" s="127"/>
      <c r="B221" s="143"/>
      <c r="C221" s="135"/>
      <c r="D221" s="191"/>
      <c r="E221" s="136"/>
      <c r="F221" s="135"/>
    </row>
    <row r="222" spans="1:6" ht="19.5" customHeight="1">
      <c r="A222" s="127"/>
      <c r="B222" s="127"/>
      <c r="C222" s="135"/>
      <c r="D222" s="135"/>
      <c r="E222" s="136"/>
      <c r="F222" s="135"/>
    </row>
    <row r="223" spans="1:6" ht="19.5" customHeight="1">
      <c r="A223" s="127"/>
      <c r="B223" s="127"/>
      <c r="C223" s="135"/>
      <c r="D223" s="135"/>
      <c r="E223" s="136"/>
      <c r="F223" s="135"/>
    </row>
    <row r="224" spans="1:6" ht="19.5" customHeight="1">
      <c r="A224" s="127"/>
      <c r="B224" s="127"/>
      <c r="C224" s="135"/>
      <c r="D224" s="135"/>
      <c r="E224" s="136"/>
      <c r="F224" s="135"/>
    </row>
    <row r="225" spans="1:6" ht="21">
      <c r="A225" s="71"/>
      <c r="B225" s="71"/>
      <c r="C225" s="75"/>
      <c r="D225" s="75"/>
      <c r="E225" s="202"/>
      <c r="F225" s="75"/>
    </row>
  </sheetData>
  <sheetProtection/>
  <mergeCells count="35">
    <mergeCell ref="A140:F140"/>
    <mergeCell ref="A141:F141"/>
    <mergeCell ref="A142:F142"/>
    <mergeCell ref="C143:C144"/>
    <mergeCell ref="D143:D144"/>
    <mergeCell ref="C158:C159"/>
    <mergeCell ref="D158:D159"/>
    <mergeCell ref="A1:F1"/>
    <mergeCell ref="A2:F2"/>
    <mergeCell ref="A3:F3"/>
    <mergeCell ref="C4:C5"/>
    <mergeCell ref="D4:D5"/>
    <mergeCell ref="C20:C21"/>
    <mergeCell ref="D20:D21"/>
    <mergeCell ref="C68:C69"/>
    <mergeCell ref="D68:D69"/>
    <mergeCell ref="A50:F50"/>
    <mergeCell ref="A51:F51"/>
    <mergeCell ref="A52:F52"/>
    <mergeCell ref="C53:C54"/>
    <mergeCell ref="D53:D54"/>
    <mergeCell ref="A97:F97"/>
    <mergeCell ref="A98:F98"/>
    <mergeCell ref="A99:F99"/>
    <mergeCell ref="C100:C101"/>
    <mergeCell ref="D100:D101"/>
    <mergeCell ref="C115:C116"/>
    <mergeCell ref="D115:D116"/>
    <mergeCell ref="A183:F183"/>
    <mergeCell ref="A184:F184"/>
    <mergeCell ref="A185:F185"/>
    <mergeCell ref="C186:C187"/>
    <mergeCell ref="D186:D187"/>
    <mergeCell ref="C201:C202"/>
    <mergeCell ref="D201:D202"/>
  </mergeCells>
  <printOptions/>
  <pageMargins left="0.7086614173228347" right="0.2362204724409449" top="0.4724409448818898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1">
      <selection activeCell="F76" sqref="F76"/>
    </sheetView>
  </sheetViews>
  <sheetFormatPr defaultColWidth="9.140625" defaultRowHeight="12.75"/>
  <cols>
    <col min="1" max="1" width="52.00390625" style="0" customWidth="1"/>
    <col min="3" max="3" width="19.00390625" style="0" customWidth="1"/>
    <col min="4" max="4" width="18.00390625" style="0" customWidth="1"/>
    <col min="5" max="5" width="19.28125" style="0" customWidth="1"/>
  </cols>
  <sheetData>
    <row r="1" spans="1:4" ht="21">
      <c r="A1" s="208" t="s">
        <v>73</v>
      </c>
      <c r="B1" s="208"/>
      <c r="C1" s="208"/>
      <c r="D1" s="208"/>
    </row>
    <row r="2" spans="1:4" ht="21">
      <c r="A2" s="208" t="s">
        <v>104</v>
      </c>
      <c r="B2" s="208"/>
      <c r="C2" s="208"/>
      <c r="D2" s="208"/>
    </row>
    <row r="3" spans="1:4" ht="21">
      <c r="A3" s="208" t="s">
        <v>200</v>
      </c>
      <c r="B3" s="208"/>
      <c r="C3" s="208"/>
      <c r="D3" s="208"/>
    </row>
    <row r="4" spans="1:4" ht="21">
      <c r="A4" s="59" t="s">
        <v>1</v>
      </c>
      <c r="B4" s="59" t="s">
        <v>74</v>
      </c>
      <c r="C4" s="59" t="s">
        <v>75</v>
      </c>
      <c r="D4" s="59" t="s">
        <v>76</v>
      </c>
    </row>
    <row r="5" spans="1:4" ht="19.5" customHeight="1">
      <c r="A5" s="170" t="s">
        <v>77</v>
      </c>
      <c r="B5" s="60"/>
      <c r="C5" s="61">
        <v>14083366.61</v>
      </c>
      <c r="D5" s="60"/>
    </row>
    <row r="6" spans="1:4" ht="19.5" customHeight="1">
      <c r="A6" s="65" t="s">
        <v>78</v>
      </c>
      <c r="B6" s="62"/>
      <c r="C6" s="63">
        <v>344239.24</v>
      </c>
      <c r="D6" s="64"/>
    </row>
    <row r="7" spans="1:4" ht="19.5" customHeight="1">
      <c r="A7" s="65" t="s">
        <v>183</v>
      </c>
      <c r="B7" s="66"/>
      <c r="C7" s="63">
        <v>3087093.02</v>
      </c>
      <c r="D7" s="64"/>
    </row>
    <row r="8" spans="1:4" ht="19.5" customHeight="1">
      <c r="A8" s="65" t="s">
        <v>80</v>
      </c>
      <c r="B8" s="66"/>
      <c r="C8" s="63">
        <v>7214</v>
      </c>
      <c r="D8" s="64"/>
    </row>
    <row r="9" spans="1:4" ht="19.5" customHeight="1">
      <c r="A9" s="65" t="s">
        <v>79</v>
      </c>
      <c r="B9" s="66"/>
      <c r="C9" s="63">
        <v>0</v>
      </c>
      <c r="D9" s="64"/>
    </row>
    <row r="10" spans="1:4" ht="19.5" customHeight="1">
      <c r="A10" s="65" t="s">
        <v>202</v>
      </c>
      <c r="B10" s="66"/>
      <c r="C10" s="63">
        <v>0</v>
      </c>
      <c r="D10" s="64"/>
    </row>
    <row r="11" spans="1:4" ht="19.5" customHeight="1">
      <c r="A11" s="65" t="s">
        <v>55</v>
      </c>
      <c r="B11" s="66">
        <v>100</v>
      </c>
      <c r="C11" s="63">
        <f>2951345+796</f>
        <v>2952141</v>
      </c>
      <c r="D11" s="64"/>
    </row>
    <row r="12" spans="1:4" ht="19.5" customHeight="1">
      <c r="A12" s="65" t="s">
        <v>56</v>
      </c>
      <c r="B12" s="66">
        <v>120</v>
      </c>
      <c r="C12" s="63">
        <v>133680</v>
      </c>
      <c r="D12" s="64"/>
    </row>
    <row r="13" spans="1:4" ht="19.5" customHeight="1">
      <c r="A13" s="65" t="s">
        <v>57</v>
      </c>
      <c r="B13" s="66">
        <v>130</v>
      </c>
      <c r="C13" s="63">
        <v>1052460</v>
      </c>
      <c r="D13" s="64"/>
    </row>
    <row r="14" spans="1:4" ht="19.5" customHeight="1">
      <c r="A14" s="65" t="s">
        <v>58</v>
      </c>
      <c r="B14" s="66">
        <v>200</v>
      </c>
      <c r="C14" s="63">
        <f>2502509+797641</f>
        <v>3300150</v>
      </c>
      <c r="D14" s="64"/>
    </row>
    <row r="15" spans="1:4" ht="19.5" customHeight="1">
      <c r="A15" s="65" t="s">
        <v>59</v>
      </c>
      <c r="B15" s="66">
        <v>250</v>
      </c>
      <c r="C15" s="63">
        <f>2868399.85+37310</f>
        <v>2905709.85</v>
      </c>
      <c r="D15" s="64"/>
    </row>
    <row r="16" spans="1:4" ht="19.5" customHeight="1">
      <c r="A16" s="65" t="s">
        <v>60</v>
      </c>
      <c r="B16" s="66">
        <v>270</v>
      </c>
      <c r="C16" s="63">
        <v>1376615.56</v>
      </c>
      <c r="D16" s="64"/>
    </row>
    <row r="17" spans="1:4" ht="19.5" customHeight="1">
      <c r="A17" s="65" t="s">
        <v>61</v>
      </c>
      <c r="B17" s="66">
        <v>300</v>
      </c>
      <c r="C17" s="63">
        <v>421506.93</v>
      </c>
      <c r="D17" s="64"/>
    </row>
    <row r="18" spans="1:4" ht="19.5" customHeight="1">
      <c r="A18" s="65" t="s">
        <v>45</v>
      </c>
      <c r="B18" s="66">
        <v>400</v>
      </c>
      <c r="C18" s="63">
        <v>1773757.22</v>
      </c>
      <c r="D18" s="64"/>
    </row>
    <row r="19" spans="1:4" ht="19.5" customHeight="1">
      <c r="A19" s="65" t="s">
        <v>62</v>
      </c>
      <c r="B19" s="66">
        <v>450</v>
      </c>
      <c r="C19" s="63">
        <v>1032240</v>
      </c>
      <c r="D19" s="64"/>
    </row>
    <row r="20" spans="1:4" ht="19.5" customHeight="1">
      <c r="A20" s="65" t="s">
        <v>63</v>
      </c>
      <c r="B20" s="66">
        <v>500</v>
      </c>
      <c r="C20" s="63">
        <f>529530+391970</f>
        <v>921500</v>
      </c>
      <c r="D20" s="64"/>
    </row>
    <row r="21" spans="1:4" ht="19.5" customHeight="1">
      <c r="A21" s="65" t="s">
        <v>64</v>
      </c>
      <c r="B21" s="66">
        <v>550</v>
      </c>
      <c r="C21" s="63">
        <v>20000</v>
      </c>
      <c r="D21" s="64"/>
    </row>
    <row r="22" spans="1:5" ht="19.5" customHeight="1">
      <c r="A22" s="65" t="s">
        <v>54</v>
      </c>
      <c r="B22" s="66"/>
      <c r="C22" s="63">
        <v>925121</v>
      </c>
      <c r="D22" s="64"/>
      <c r="E22" s="74"/>
    </row>
    <row r="23" spans="1:4" ht="19.5" customHeight="1">
      <c r="A23" s="65" t="s">
        <v>81</v>
      </c>
      <c r="B23" s="66">
        <v>700</v>
      </c>
      <c r="C23" s="64"/>
      <c r="D23" s="64">
        <v>2583578.66</v>
      </c>
    </row>
    <row r="24" spans="1:4" ht="19.5" customHeight="1">
      <c r="A24" s="65" t="s">
        <v>105</v>
      </c>
      <c r="B24" s="66"/>
      <c r="C24" s="64"/>
      <c r="D24" s="64">
        <v>6102243.53</v>
      </c>
    </row>
    <row r="25" spans="1:4" ht="19.5" customHeight="1">
      <c r="A25" s="65" t="s">
        <v>107</v>
      </c>
      <c r="B25" s="66">
        <v>600</v>
      </c>
      <c r="C25" s="64"/>
      <c r="D25" s="64">
        <f>13514.58+391970</f>
        <v>405484.58</v>
      </c>
    </row>
    <row r="26" spans="1:4" ht="19.5" customHeight="1">
      <c r="A26" s="65" t="s">
        <v>106</v>
      </c>
      <c r="B26" s="66">
        <v>821</v>
      </c>
      <c r="C26" s="64"/>
      <c r="D26" s="64">
        <f>27889+835747</f>
        <v>863636</v>
      </c>
    </row>
    <row r="27" spans="1:4" ht="19.5" customHeight="1">
      <c r="A27" s="65" t="s">
        <v>82</v>
      </c>
      <c r="B27" s="66">
        <v>900</v>
      </c>
      <c r="C27" s="64"/>
      <c r="D27" s="64">
        <v>23784459.3</v>
      </c>
    </row>
    <row r="28" spans="1:4" ht="19.5" customHeight="1">
      <c r="A28" s="65" t="s">
        <v>83</v>
      </c>
      <c r="B28" s="203"/>
      <c r="C28" s="64"/>
      <c r="D28" s="64">
        <v>253153.12</v>
      </c>
    </row>
    <row r="29" spans="1:4" ht="19.5" customHeight="1">
      <c r="A29" s="68" t="s">
        <v>84</v>
      </c>
      <c r="B29" s="69"/>
      <c r="C29" s="70"/>
      <c r="D29" s="70">
        <v>344239.24</v>
      </c>
    </row>
    <row r="30" spans="1:5" ht="19.5" customHeight="1">
      <c r="A30" s="71"/>
      <c r="B30" s="72"/>
      <c r="C30" s="73">
        <f>SUM(C5:C29)</f>
        <v>34336794.43</v>
      </c>
      <c r="D30" s="73">
        <f>SUM(D5:D29)</f>
        <v>34336794.43</v>
      </c>
      <c r="E30" s="204">
        <f>SUM(C30-D30)</f>
        <v>0</v>
      </c>
    </row>
    <row r="31" spans="1:4" ht="21">
      <c r="A31" s="71" t="s">
        <v>85</v>
      </c>
      <c r="B31" s="72"/>
      <c r="C31" s="71"/>
      <c r="D31" s="71"/>
    </row>
    <row r="32" spans="1:4" ht="21">
      <c r="A32" s="71" t="s">
        <v>201</v>
      </c>
      <c r="B32" s="72"/>
      <c r="C32" s="71"/>
      <c r="D32" s="71"/>
    </row>
    <row r="33" spans="1:4" ht="21">
      <c r="A33" s="71" t="s">
        <v>86</v>
      </c>
      <c r="B33" s="71"/>
      <c r="C33" s="71"/>
      <c r="D33" s="71"/>
    </row>
    <row r="34" spans="1:4" ht="21">
      <c r="A34" s="71"/>
      <c r="B34" s="71"/>
      <c r="C34" s="71"/>
      <c r="D34" s="71"/>
    </row>
    <row r="35" spans="1:4" ht="21">
      <c r="A35" s="71"/>
      <c r="B35" s="71"/>
      <c r="C35" s="71"/>
      <c r="D35" s="71"/>
    </row>
    <row r="36" spans="1:4" ht="21">
      <c r="A36" s="71"/>
      <c r="B36" s="71"/>
      <c r="C36" s="71"/>
      <c r="D36" s="71"/>
    </row>
    <row r="37" spans="1:4" ht="21">
      <c r="A37" s="71"/>
      <c r="B37" s="71"/>
      <c r="C37" s="71"/>
      <c r="D37" s="71"/>
    </row>
    <row r="38" spans="1:4" ht="21">
      <c r="A38" s="71"/>
      <c r="B38" s="71"/>
      <c r="C38" s="71"/>
      <c r="D38" s="71"/>
    </row>
    <row r="39" spans="1:4" ht="21">
      <c r="A39" s="71"/>
      <c r="B39" s="71"/>
      <c r="C39" s="71"/>
      <c r="D39" s="71"/>
    </row>
    <row r="40" spans="1:4" ht="21">
      <c r="A40" s="71"/>
      <c r="B40" s="71"/>
      <c r="C40" s="71"/>
      <c r="D40" s="71"/>
    </row>
    <row r="41" spans="1:4" ht="21">
      <c r="A41" s="71"/>
      <c r="B41" s="71"/>
      <c r="C41" s="71"/>
      <c r="D41" s="71"/>
    </row>
    <row r="42" spans="1:4" ht="21">
      <c r="A42" s="208" t="s">
        <v>73</v>
      </c>
      <c r="B42" s="208"/>
      <c r="C42" s="208"/>
      <c r="D42" s="208"/>
    </row>
    <row r="43" spans="1:4" ht="21">
      <c r="A43" s="208" t="s">
        <v>104</v>
      </c>
      <c r="B43" s="208"/>
      <c r="C43" s="208"/>
      <c r="D43" s="208"/>
    </row>
    <row r="44" spans="1:4" ht="21">
      <c r="A44" s="208" t="s">
        <v>200</v>
      </c>
      <c r="B44" s="208"/>
      <c r="C44" s="208"/>
      <c r="D44" s="208"/>
    </row>
    <row r="45" spans="1:4" ht="21">
      <c r="A45" s="59" t="s">
        <v>1</v>
      </c>
      <c r="B45" s="59" t="s">
        <v>74</v>
      </c>
      <c r="C45" s="59" t="s">
        <v>75</v>
      </c>
      <c r="D45" s="59" t="s">
        <v>76</v>
      </c>
    </row>
    <row r="46" spans="1:4" ht="21">
      <c r="A46" s="170" t="s">
        <v>77</v>
      </c>
      <c r="B46" s="60"/>
      <c r="C46" s="61">
        <v>14083366.61</v>
      </c>
      <c r="D46" s="60"/>
    </row>
    <row r="47" spans="1:4" ht="21">
      <c r="A47" s="65" t="s">
        <v>78</v>
      </c>
      <c r="B47" s="62"/>
      <c r="C47" s="63">
        <v>344239.24</v>
      </c>
      <c r="D47" s="64"/>
    </row>
    <row r="48" spans="1:4" ht="21">
      <c r="A48" s="65" t="s">
        <v>183</v>
      </c>
      <c r="B48" s="66"/>
      <c r="C48" s="63">
        <v>3087093.02</v>
      </c>
      <c r="D48" s="64"/>
    </row>
    <row r="49" spans="1:4" ht="21">
      <c r="A49" s="65" t="s">
        <v>80</v>
      </c>
      <c r="B49" s="66"/>
      <c r="C49" s="63">
        <f>7214-7214+5992</f>
        <v>5992</v>
      </c>
      <c r="D49" s="64"/>
    </row>
    <row r="50" spans="1:4" ht="21">
      <c r="A50" s="65" t="s">
        <v>79</v>
      </c>
      <c r="B50" s="66"/>
      <c r="C50" s="63">
        <v>0</v>
      </c>
      <c r="D50" s="64"/>
    </row>
    <row r="51" spans="1:4" ht="21">
      <c r="A51" s="65" t="s">
        <v>202</v>
      </c>
      <c r="B51" s="66"/>
      <c r="C51" s="63">
        <v>0</v>
      </c>
      <c r="D51" s="64"/>
    </row>
    <row r="52" spans="1:4" ht="21">
      <c r="A52" s="65" t="s">
        <v>55</v>
      </c>
      <c r="B52" s="66">
        <v>100</v>
      </c>
      <c r="C52" s="63">
        <f>2951345+796-2952141</f>
        <v>0</v>
      </c>
      <c r="D52" s="64"/>
    </row>
    <row r="53" spans="1:4" ht="21">
      <c r="A53" s="65" t="s">
        <v>56</v>
      </c>
      <c r="B53" s="66">
        <v>120</v>
      </c>
      <c r="C53" s="63">
        <f>133680-133680</f>
        <v>0</v>
      </c>
      <c r="D53" s="64"/>
    </row>
    <row r="54" spans="1:4" ht="21">
      <c r="A54" s="65" t="s">
        <v>57</v>
      </c>
      <c r="B54" s="66">
        <v>130</v>
      </c>
      <c r="C54" s="63">
        <f>1052460-1052460</f>
        <v>0</v>
      </c>
      <c r="D54" s="64"/>
    </row>
    <row r="55" spans="1:4" ht="21">
      <c r="A55" s="65" t="s">
        <v>58</v>
      </c>
      <c r="B55" s="66">
        <v>200</v>
      </c>
      <c r="C55" s="63">
        <f>2502509+797641-3300150</f>
        <v>0</v>
      </c>
      <c r="D55" s="64"/>
    </row>
    <row r="56" spans="1:4" ht="21">
      <c r="A56" s="65" t="s">
        <v>59</v>
      </c>
      <c r="B56" s="66">
        <v>250</v>
      </c>
      <c r="C56" s="63">
        <f>2868399.85+37310-2905709.85</f>
        <v>0</v>
      </c>
      <c r="D56" s="64"/>
    </row>
    <row r="57" spans="1:4" ht="21">
      <c r="A57" s="65" t="s">
        <v>60</v>
      </c>
      <c r="B57" s="66">
        <v>270</v>
      </c>
      <c r="C57" s="63">
        <f>1376615.56-1376615.56</f>
        <v>0</v>
      </c>
      <c r="D57" s="64"/>
    </row>
    <row r="58" spans="1:4" ht="21">
      <c r="A58" s="65" t="s">
        <v>61</v>
      </c>
      <c r="B58" s="66">
        <v>300</v>
      </c>
      <c r="C58" s="63">
        <f>421506.93-421506.93</f>
        <v>0</v>
      </c>
      <c r="D58" s="64"/>
    </row>
    <row r="59" spans="1:4" ht="21">
      <c r="A59" s="65" t="s">
        <v>45</v>
      </c>
      <c r="B59" s="66">
        <v>400</v>
      </c>
      <c r="C59" s="63">
        <f>1773757.22-1773757.22</f>
        <v>0</v>
      </c>
      <c r="D59" s="64"/>
    </row>
    <row r="60" spans="1:4" ht="21">
      <c r="A60" s="65" t="s">
        <v>62</v>
      </c>
      <c r="B60" s="66">
        <v>450</v>
      </c>
      <c r="C60" s="63">
        <f>1032240-1032240</f>
        <v>0</v>
      </c>
      <c r="D60" s="64"/>
    </row>
    <row r="61" spans="1:4" ht="21">
      <c r="A61" s="65" t="s">
        <v>63</v>
      </c>
      <c r="B61" s="66">
        <v>500</v>
      </c>
      <c r="C61" s="63">
        <f>529530+391970-921500</f>
        <v>0</v>
      </c>
      <c r="D61" s="64"/>
    </row>
    <row r="62" spans="1:4" ht="21">
      <c r="A62" s="65" t="s">
        <v>64</v>
      </c>
      <c r="B62" s="66">
        <v>550</v>
      </c>
      <c r="C62" s="63">
        <f>20000-20000</f>
        <v>0</v>
      </c>
      <c r="D62" s="64"/>
    </row>
    <row r="63" spans="1:4" ht="21">
      <c r="A63" s="65" t="s">
        <v>54</v>
      </c>
      <c r="B63" s="66"/>
      <c r="C63" s="63">
        <f>925121-925121</f>
        <v>0</v>
      </c>
      <c r="D63" s="64"/>
    </row>
    <row r="64" spans="1:4" ht="21">
      <c r="A64" s="65" t="s">
        <v>81</v>
      </c>
      <c r="B64" s="66">
        <v>700</v>
      </c>
      <c r="C64" s="64"/>
      <c r="D64" s="64">
        <f>2583578.66-7214+5992+27889+13514.58+4415777.74-1103944.44</f>
        <v>5935593.540000001</v>
      </c>
    </row>
    <row r="65" spans="1:4" ht="21">
      <c r="A65" s="65" t="s">
        <v>105</v>
      </c>
      <c r="B65" s="66"/>
      <c r="C65" s="64"/>
      <c r="D65" s="64">
        <f>6102243.53+1103944.44</f>
        <v>7206187.970000001</v>
      </c>
    </row>
    <row r="66" spans="1:4" ht="21">
      <c r="A66" s="65" t="s">
        <v>107</v>
      </c>
      <c r="B66" s="66">
        <v>600</v>
      </c>
      <c r="C66" s="64"/>
      <c r="D66" s="64">
        <f>13514.58+391970-13514.58</f>
        <v>391970</v>
      </c>
    </row>
    <row r="67" spans="1:4" ht="21">
      <c r="A67" s="65" t="s">
        <v>106</v>
      </c>
      <c r="B67" s="66">
        <v>821</v>
      </c>
      <c r="C67" s="64"/>
      <c r="D67" s="64">
        <f>27889+835747-27889</f>
        <v>835747</v>
      </c>
    </row>
    <row r="68" spans="1:4" ht="21">
      <c r="A68" s="65" t="s">
        <v>82</v>
      </c>
      <c r="B68" s="66">
        <v>900</v>
      </c>
      <c r="C68" s="64"/>
      <c r="D68" s="64">
        <f>23784459.3-21230659.3</f>
        <v>2553800</v>
      </c>
    </row>
    <row r="69" spans="1:4" ht="21">
      <c r="A69" s="65" t="s">
        <v>83</v>
      </c>
      <c r="B69" s="203"/>
      <c r="C69" s="64"/>
      <c r="D69" s="64">
        <v>253153.12</v>
      </c>
    </row>
    <row r="70" spans="1:4" ht="21">
      <c r="A70" s="68" t="s">
        <v>84</v>
      </c>
      <c r="B70" s="69"/>
      <c r="C70" s="70"/>
      <c r="D70" s="70">
        <v>344239.24</v>
      </c>
    </row>
    <row r="71" spans="1:5" ht="21">
      <c r="A71" s="71"/>
      <c r="B71" s="72"/>
      <c r="C71" s="73">
        <f>SUM(C46:C70)</f>
        <v>17520690.87</v>
      </c>
      <c r="D71" s="73">
        <f>SUM(D46:D70)</f>
        <v>17520690.87</v>
      </c>
      <c r="E71" s="204">
        <f>SUM(C71-D71)</f>
        <v>0</v>
      </c>
    </row>
    <row r="72" spans="1:4" ht="21">
      <c r="A72" s="71" t="s">
        <v>85</v>
      </c>
      <c r="B72" s="72"/>
      <c r="C72" s="71"/>
      <c r="D72" s="71"/>
    </row>
    <row r="73" spans="1:4" ht="21">
      <c r="A73" s="71" t="s">
        <v>201</v>
      </c>
      <c r="B73" s="72"/>
      <c r="C73" s="71"/>
      <c r="D73" s="71"/>
    </row>
    <row r="74" spans="1:4" ht="21">
      <c r="A74" s="71" t="s">
        <v>86</v>
      </c>
      <c r="B74" s="71"/>
      <c r="C74" s="71"/>
      <c r="D74" s="71"/>
    </row>
    <row r="75" spans="1:4" ht="21">
      <c r="A75" s="71"/>
      <c r="B75" s="71"/>
      <c r="C75" s="71"/>
      <c r="D75" s="71"/>
    </row>
    <row r="76" spans="1:4" ht="21">
      <c r="A76" s="71"/>
      <c r="B76" s="71"/>
      <c r="C76" s="71"/>
      <c r="D76" s="71"/>
    </row>
    <row r="77" spans="1:4" ht="21">
      <c r="A77" s="71"/>
      <c r="B77" s="71"/>
      <c r="C77" s="71"/>
      <c r="D77" s="71"/>
    </row>
    <row r="78" spans="1:4" ht="21">
      <c r="A78" s="71"/>
      <c r="B78" s="71"/>
      <c r="C78" s="71"/>
      <c r="D78" s="71"/>
    </row>
    <row r="79" spans="1:4" ht="21">
      <c r="A79" s="71"/>
      <c r="B79" s="71"/>
      <c r="C79" s="71"/>
      <c r="D79" s="71"/>
    </row>
    <row r="80" spans="1:4" ht="21">
      <c r="A80" s="71"/>
      <c r="B80" s="71"/>
      <c r="C80" s="71"/>
      <c r="D80" s="71"/>
    </row>
    <row r="81" spans="1:4" ht="21">
      <c r="A81" s="71"/>
      <c r="B81" s="71"/>
      <c r="C81" s="71"/>
      <c r="D81" s="71"/>
    </row>
    <row r="82" spans="1:4" ht="21">
      <c r="A82" s="71"/>
      <c r="B82" s="71"/>
      <c r="C82" s="71"/>
      <c r="D82" s="71"/>
    </row>
  </sheetData>
  <sheetProtection/>
  <mergeCells count="6">
    <mergeCell ref="A1:D1"/>
    <mergeCell ref="A2:D2"/>
    <mergeCell ref="A3:D3"/>
    <mergeCell ref="A42:D42"/>
    <mergeCell ref="A43:D43"/>
    <mergeCell ref="A44:D44"/>
  </mergeCells>
  <printOptions/>
  <pageMargins left="0.5118110236220472" right="0" top="0.5511811023622047" bottom="0" header="0.31496062992125984" footer="0.31496062992125984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4.140625" style="23" customWidth="1"/>
    <col min="2" max="2" width="25.140625" style="23" customWidth="1"/>
    <col min="3" max="3" width="14.57421875" style="23" customWidth="1"/>
    <col min="4" max="4" width="13.57421875" style="23" customWidth="1"/>
    <col min="5" max="5" width="11.7109375" style="23" customWidth="1"/>
    <col min="6" max="6" width="14.7109375" style="23" customWidth="1"/>
    <col min="7" max="7" width="4.28125" style="23" customWidth="1"/>
    <col min="8" max="8" width="27.140625" style="23" customWidth="1"/>
    <col min="9" max="9" width="15.421875" style="23" customWidth="1"/>
    <col min="10" max="10" width="15.8515625" style="23" customWidth="1"/>
    <col min="11" max="11" width="17.140625" style="23" customWidth="1"/>
    <col min="12" max="16384" width="9.140625" style="23" customWidth="1"/>
  </cols>
  <sheetData>
    <row r="1" spans="1:9" ht="24">
      <c r="A1" s="217" t="s">
        <v>88</v>
      </c>
      <c r="B1" s="217"/>
      <c r="C1" s="217"/>
      <c r="D1" s="217"/>
      <c r="E1" s="217"/>
      <c r="F1" s="217"/>
      <c r="G1" s="217"/>
      <c r="H1" s="217"/>
      <c r="I1" s="217"/>
    </row>
    <row r="2" spans="1:9" ht="24">
      <c r="A2" s="217" t="s">
        <v>113</v>
      </c>
      <c r="B2" s="217"/>
      <c r="C2" s="217"/>
      <c r="D2" s="217"/>
      <c r="E2" s="217"/>
      <c r="F2" s="217"/>
      <c r="G2" s="217"/>
      <c r="H2" s="217"/>
      <c r="I2" s="217"/>
    </row>
    <row r="3" spans="1:9" ht="24">
      <c r="A3" s="224" t="s">
        <v>203</v>
      </c>
      <c r="B3" s="224"/>
      <c r="C3" s="224"/>
      <c r="D3" s="224"/>
      <c r="E3" s="224"/>
      <c r="F3" s="224"/>
      <c r="G3" s="224"/>
      <c r="H3" s="224"/>
      <c r="I3" s="224"/>
    </row>
    <row r="4" spans="1:9" ht="24">
      <c r="A4" s="218" t="s">
        <v>114</v>
      </c>
      <c r="B4" s="219"/>
      <c r="C4" s="148" t="s">
        <v>115</v>
      </c>
      <c r="D4" s="148" t="s">
        <v>117</v>
      </c>
      <c r="E4" s="148" t="s">
        <v>119</v>
      </c>
      <c r="F4" s="148" t="s">
        <v>120</v>
      </c>
      <c r="G4" s="218" t="s">
        <v>122</v>
      </c>
      <c r="H4" s="219"/>
      <c r="I4" s="222" t="s">
        <v>123</v>
      </c>
    </row>
    <row r="5" spans="1:9" ht="24">
      <c r="A5" s="220"/>
      <c r="B5" s="221"/>
      <c r="C5" s="149" t="s">
        <v>116</v>
      </c>
      <c r="D5" s="149" t="s">
        <v>118</v>
      </c>
      <c r="E5" s="149" t="s">
        <v>118</v>
      </c>
      <c r="F5" s="149" t="s">
        <v>121</v>
      </c>
      <c r="G5" s="220"/>
      <c r="H5" s="221"/>
      <c r="I5" s="223"/>
    </row>
    <row r="6" spans="1:9" ht="24">
      <c r="A6" s="148" t="s">
        <v>124</v>
      </c>
      <c r="B6" s="150" t="s">
        <v>125</v>
      </c>
      <c r="C6" s="151"/>
      <c r="D6" s="151"/>
      <c r="E6" s="151"/>
      <c r="F6" s="151"/>
      <c r="G6" s="151" t="s">
        <v>133</v>
      </c>
      <c r="H6" s="151" t="s">
        <v>134</v>
      </c>
      <c r="I6" s="151">
        <f>296610+77790+2190+189000+322470+317240</f>
        <v>1205300</v>
      </c>
    </row>
    <row r="7" spans="1:11" ht="24">
      <c r="A7" s="152"/>
      <c r="B7" s="153" t="s">
        <v>126</v>
      </c>
      <c r="C7" s="154">
        <v>11103247</v>
      </c>
      <c r="D7" s="155">
        <v>0</v>
      </c>
      <c r="E7" s="155">
        <v>0</v>
      </c>
      <c r="F7" s="155">
        <f aca="true" t="shared" si="0" ref="F7:F12">SUM(C7+D7)</f>
        <v>11103247</v>
      </c>
      <c r="G7" s="155" t="s">
        <v>132</v>
      </c>
      <c r="H7" s="155" t="s">
        <v>135</v>
      </c>
      <c r="I7" s="155">
        <f>9534949+83200+1757768+52000+2113402-189000+715000</f>
        <v>14067319</v>
      </c>
      <c r="J7" s="24"/>
      <c r="K7" s="24">
        <v>11103247</v>
      </c>
    </row>
    <row r="8" spans="1:11" ht="24">
      <c r="A8" s="152"/>
      <c r="B8" s="153" t="s">
        <v>127</v>
      </c>
      <c r="C8" s="154">
        <v>4745402</v>
      </c>
      <c r="D8" s="155">
        <v>0</v>
      </c>
      <c r="E8" s="155">
        <v>0</v>
      </c>
      <c r="F8" s="155">
        <f t="shared" si="0"/>
        <v>4745402</v>
      </c>
      <c r="G8" s="155" t="s">
        <v>136</v>
      </c>
      <c r="H8" s="155" t="s">
        <v>81</v>
      </c>
      <c r="I8" s="155">
        <v>4948860</v>
      </c>
      <c r="J8" s="24"/>
      <c r="K8" s="24">
        <v>2632000</v>
      </c>
    </row>
    <row r="9" spans="1:11" ht="24">
      <c r="A9" s="152" t="s">
        <v>132</v>
      </c>
      <c r="B9" s="153" t="s">
        <v>128</v>
      </c>
      <c r="C9" s="154">
        <v>0</v>
      </c>
      <c r="D9" s="155"/>
      <c r="E9" s="155"/>
      <c r="F9" s="155">
        <f t="shared" si="0"/>
        <v>0</v>
      </c>
      <c r="G9" s="155"/>
      <c r="H9" s="155"/>
      <c r="I9" s="155"/>
      <c r="J9" s="24"/>
      <c r="K9" s="24">
        <v>0</v>
      </c>
    </row>
    <row r="10" spans="1:11" ht="24">
      <c r="A10" s="153"/>
      <c r="B10" s="153" t="s">
        <v>129</v>
      </c>
      <c r="C10" s="154">
        <v>2608790</v>
      </c>
      <c r="D10" s="155">
        <f>SUM(93500)+23340+134400+37000+29000</f>
        <v>317240</v>
      </c>
      <c r="E10" s="155">
        <v>0</v>
      </c>
      <c r="F10" s="155">
        <f t="shared" si="0"/>
        <v>2926030</v>
      </c>
      <c r="G10" s="155"/>
      <c r="H10" s="155"/>
      <c r="I10" s="155"/>
      <c r="J10" s="24"/>
      <c r="K10" s="24">
        <v>2232130</v>
      </c>
    </row>
    <row r="11" spans="1:11" ht="24">
      <c r="A11" s="153"/>
      <c r="B11" s="153" t="s">
        <v>130</v>
      </c>
      <c r="C11" s="154">
        <v>558500</v>
      </c>
      <c r="D11" s="155">
        <v>715000</v>
      </c>
      <c r="E11" s="155">
        <v>0</v>
      </c>
      <c r="F11" s="155">
        <f t="shared" si="0"/>
        <v>1273500</v>
      </c>
      <c r="G11" s="155"/>
      <c r="H11" s="155"/>
      <c r="I11" s="155"/>
      <c r="J11" s="24"/>
      <c r="K11" s="24">
        <v>558500</v>
      </c>
    </row>
    <row r="12" spans="1:11" ht="24">
      <c r="A12" s="156"/>
      <c r="B12" s="156" t="s">
        <v>131</v>
      </c>
      <c r="C12" s="154">
        <v>173300</v>
      </c>
      <c r="D12" s="157">
        <v>0</v>
      </c>
      <c r="E12" s="157">
        <v>0</v>
      </c>
      <c r="F12" s="155">
        <f t="shared" si="0"/>
        <v>173300</v>
      </c>
      <c r="G12" s="157"/>
      <c r="H12" s="157"/>
      <c r="I12" s="157"/>
      <c r="J12" s="24"/>
      <c r="K12" s="24">
        <v>173300</v>
      </c>
    </row>
    <row r="13" spans="1:11" ht="24.75" thickBot="1">
      <c r="A13" s="158"/>
      <c r="B13" s="158"/>
      <c r="C13" s="159">
        <f>SUM(C7:C12)</f>
        <v>19189239</v>
      </c>
      <c r="D13" s="159">
        <f>SUM(D6:D12)</f>
        <v>1032240</v>
      </c>
      <c r="E13" s="159">
        <f>SUM(E7:E12)</f>
        <v>0</v>
      </c>
      <c r="F13" s="159">
        <f>SUM(F7:F12)</f>
        <v>20221479</v>
      </c>
      <c r="G13" s="154"/>
      <c r="H13" s="154"/>
      <c r="I13" s="159">
        <f>SUM(I6:I12)</f>
        <v>20221479</v>
      </c>
      <c r="K13" s="58">
        <f>SUM(K7:K12)</f>
        <v>16699177</v>
      </c>
    </row>
    <row r="14" spans="1:9" ht="24.75" thickTop="1">
      <c r="A14" s="158"/>
      <c r="B14" s="158"/>
      <c r="C14" s="154"/>
      <c r="D14" s="154"/>
      <c r="E14" s="154"/>
      <c r="F14" s="154"/>
      <c r="G14" s="154"/>
      <c r="H14" s="154"/>
      <c r="I14" s="154"/>
    </row>
    <row r="16" ht="23.25">
      <c r="D16" s="25">
        <f>SUM(8601110.48*25)/100</f>
        <v>2150277.62</v>
      </c>
    </row>
  </sheetData>
  <sheetProtection/>
  <mergeCells count="6">
    <mergeCell ref="A1:I1"/>
    <mergeCell ref="G4:H5"/>
    <mergeCell ref="I4:I5"/>
    <mergeCell ref="A2:I2"/>
    <mergeCell ref="A3:I3"/>
    <mergeCell ref="A4:B5"/>
  </mergeCells>
  <printOptions/>
  <pageMargins left="0.7480314960629921" right="0" top="0.984251968503937" bottom="0.984251968503937" header="0.5118110236220472" footer="0.5118110236220472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43.28125" style="71" customWidth="1"/>
    <col min="2" max="2" width="14.8515625" style="71" customWidth="1"/>
    <col min="3" max="3" width="16.00390625" style="71" customWidth="1"/>
    <col min="4" max="4" width="26.57421875" style="71" customWidth="1"/>
    <col min="5" max="5" width="15.57421875" style="71" customWidth="1"/>
    <col min="6" max="6" width="17.00390625" style="71" customWidth="1"/>
    <col min="7" max="7" width="14.140625" style="71" customWidth="1"/>
    <col min="8" max="8" width="17.8515625" style="71" customWidth="1"/>
    <col min="9" max="9" width="16.7109375" style="71" customWidth="1"/>
    <col min="10" max="10" width="11.421875" style="71" customWidth="1"/>
    <col min="11" max="16384" width="9.140625" style="71" customWidth="1"/>
  </cols>
  <sheetData>
    <row r="1" spans="1:6" ht="24">
      <c r="A1" s="217" t="s">
        <v>88</v>
      </c>
      <c r="B1" s="217"/>
      <c r="C1" s="217"/>
      <c r="D1" s="217"/>
      <c r="E1" s="217"/>
      <c r="F1" s="217"/>
    </row>
    <row r="2" spans="1:6" ht="24">
      <c r="A2" s="217" t="s">
        <v>89</v>
      </c>
      <c r="B2" s="217"/>
      <c r="C2" s="217"/>
      <c r="D2" s="217"/>
      <c r="E2" s="217"/>
      <c r="F2" s="217"/>
    </row>
    <row r="3" spans="1:6" ht="24">
      <c r="A3" s="217" t="s">
        <v>203</v>
      </c>
      <c r="B3" s="217"/>
      <c r="C3" s="217"/>
      <c r="D3" s="217"/>
      <c r="E3" s="217"/>
      <c r="F3" s="217"/>
    </row>
    <row r="5" spans="1:6" ht="21">
      <c r="A5" s="174" t="s">
        <v>90</v>
      </c>
      <c r="B5" s="175"/>
      <c r="C5" s="176"/>
      <c r="D5" s="177" t="s">
        <v>108</v>
      </c>
      <c r="E5" s="175"/>
      <c r="F5" s="176"/>
    </row>
    <row r="6" spans="1:6" ht="21" thickBot="1">
      <c r="A6" s="96" t="s">
        <v>91</v>
      </c>
      <c r="B6" s="178"/>
      <c r="C6" s="179">
        <f>SUM(งบทรัพย์สิน!F13)</f>
        <v>20221479</v>
      </c>
      <c r="D6" s="95" t="s">
        <v>109</v>
      </c>
      <c r="E6" s="178"/>
      <c r="F6" s="179">
        <f>SUM(C6)</f>
        <v>20221479</v>
      </c>
    </row>
    <row r="7" spans="1:6" ht="21" thickTop="1">
      <c r="A7" s="96" t="s">
        <v>80</v>
      </c>
      <c r="B7" s="97"/>
      <c r="C7" s="97">
        <f>SUM(งทลปิด!C8)</f>
        <v>5992</v>
      </c>
      <c r="D7" s="95" t="s">
        <v>107</v>
      </c>
      <c r="E7" s="178"/>
      <c r="F7" s="194">
        <f>SUM(งทลปิด!D11)</f>
        <v>391970</v>
      </c>
    </row>
    <row r="8" spans="1:6" ht="21">
      <c r="A8" s="96" t="s">
        <v>93</v>
      </c>
      <c r="B8" s="165">
        <f>SUM(งทลปิด!C5)</f>
        <v>14083366.61</v>
      </c>
      <c r="C8" s="97"/>
      <c r="D8" s="163" t="s">
        <v>164</v>
      </c>
      <c r="E8" s="96"/>
      <c r="F8" s="97">
        <f>SUM(งทลปิด!D13)</f>
        <v>2553800</v>
      </c>
    </row>
    <row r="9" spans="1:6" ht="21">
      <c r="A9" s="96" t="s">
        <v>92</v>
      </c>
      <c r="B9" s="165">
        <f>SUM(งทลปิด!C6)</f>
        <v>344239.24</v>
      </c>
      <c r="C9" s="97"/>
      <c r="D9" s="95" t="s">
        <v>110</v>
      </c>
      <c r="E9" s="178"/>
      <c r="F9" s="97">
        <f>SUM(งทลปิด!D14)</f>
        <v>253153.12</v>
      </c>
    </row>
    <row r="10" spans="1:6" ht="21">
      <c r="A10" s="192" t="s">
        <v>183</v>
      </c>
      <c r="B10" s="166">
        <f>SUM(งทลปิด!C7)</f>
        <v>3087093.02</v>
      </c>
      <c r="C10" s="121">
        <f>SUM(B8:B10)</f>
        <v>17514698.87</v>
      </c>
      <c r="D10" s="95" t="s">
        <v>111</v>
      </c>
      <c r="E10" s="178"/>
      <c r="F10" s="97">
        <f>SUM(งทลปิด!D15)</f>
        <v>344239.24</v>
      </c>
    </row>
    <row r="11" spans="1:6" ht="21">
      <c r="A11" s="95"/>
      <c r="B11" s="96"/>
      <c r="C11" s="97"/>
      <c r="D11" s="95" t="s">
        <v>112</v>
      </c>
      <c r="E11" s="178"/>
      <c r="F11" s="97">
        <f>SUM(งทลปิด!D10)</f>
        <v>7206187.97</v>
      </c>
    </row>
    <row r="12" spans="1:8" ht="21">
      <c r="A12" s="95"/>
      <c r="B12" s="180"/>
      <c r="C12" s="97"/>
      <c r="D12" s="95" t="s">
        <v>106</v>
      </c>
      <c r="E12" s="163"/>
      <c r="F12" s="97">
        <f>SUM(งทลปิด!D12)</f>
        <v>835747</v>
      </c>
      <c r="G12" s="181">
        <f>SUM(F6:F12)</f>
        <v>31806576.33</v>
      </c>
      <c r="H12" s="183">
        <f>SUM(C20-G12)</f>
        <v>5935593.540000007</v>
      </c>
    </row>
    <row r="13" spans="1:10" ht="21">
      <c r="A13" s="95"/>
      <c r="B13" s="182"/>
      <c r="C13" s="97"/>
      <c r="D13" s="95" t="s">
        <v>206</v>
      </c>
      <c r="E13" s="178">
        <f>SUM('[3]งทล.'!$D$9)</f>
        <v>4386949.66</v>
      </c>
      <c r="F13" s="163"/>
      <c r="G13" s="183">
        <f>SUM(F6:F13)</f>
        <v>31806576.33</v>
      </c>
      <c r="H13" s="75"/>
      <c r="J13" s="183"/>
    </row>
    <row r="14" spans="1:10" ht="21">
      <c r="A14" s="95"/>
      <c r="B14" s="182"/>
      <c r="C14" s="97"/>
      <c r="D14" s="184" t="s">
        <v>186</v>
      </c>
      <c r="E14" s="97">
        <v>4415777.74</v>
      </c>
      <c r="F14" s="185"/>
      <c r="H14" s="161"/>
      <c r="I14" s="105"/>
      <c r="J14" s="190"/>
    </row>
    <row r="15" spans="1:10" ht="21">
      <c r="A15" s="95"/>
      <c r="B15" s="182"/>
      <c r="C15" s="97"/>
      <c r="D15" s="184" t="s">
        <v>207</v>
      </c>
      <c r="E15" s="97">
        <f>SUM('[3]รับ-จ่าย 54'!$B$1023)</f>
        <v>442981</v>
      </c>
      <c r="F15" s="185"/>
      <c r="H15" s="161"/>
      <c r="I15" s="105"/>
      <c r="J15" s="190"/>
    </row>
    <row r="16" spans="1:10" ht="21">
      <c r="A16" s="95"/>
      <c r="B16" s="182"/>
      <c r="C16" s="97"/>
      <c r="D16" s="184" t="s">
        <v>209</v>
      </c>
      <c r="E16" s="97">
        <f>SUM(5992+27889+13514.58)</f>
        <v>47395.58</v>
      </c>
      <c r="F16" s="185"/>
      <c r="H16" s="161"/>
      <c r="I16" s="105"/>
      <c r="J16" s="190"/>
    </row>
    <row r="17" spans="1:8" ht="21">
      <c r="A17" s="95"/>
      <c r="B17" s="182"/>
      <c r="C17" s="163"/>
      <c r="D17" s="184" t="s">
        <v>187</v>
      </c>
      <c r="E17" s="97">
        <v>7214</v>
      </c>
      <c r="F17" s="185"/>
      <c r="H17" s="75"/>
    </row>
    <row r="18" spans="1:8" ht="21">
      <c r="A18" s="95"/>
      <c r="B18" s="182"/>
      <c r="C18" s="163"/>
      <c r="D18" s="184" t="s">
        <v>188</v>
      </c>
      <c r="E18" s="97">
        <v>2246352</v>
      </c>
      <c r="F18" s="185"/>
      <c r="H18" s="75"/>
    </row>
    <row r="19" spans="1:8" ht="21">
      <c r="A19" s="95"/>
      <c r="B19" s="182"/>
      <c r="C19" s="121"/>
      <c r="D19" s="184" t="s">
        <v>208</v>
      </c>
      <c r="E19" s="121">
        <v>1103944.44</v>
      </c>
      <c r="F19" s="186">
        <f>SUM(E13+E14+E15+E16-E17-E18-E19)</f>
        <v>5935593.540000001</v>
      </c>
      <c r="G19" s="193"/>
      <c r="H19" s="75"/>
    </row>
    <row r="20" spans="2:8" ht="21" thickBot="1">
      <c r="B20" s="75"/>
      <c r="C20" s="187">
        <f>SUM(C6:C19)</f>
        <v>37742169.870000005</v>
      </c>
      <c r="E20" s="161"/>
      <c r="F20" s="187">
        <f>SUM(F6:F19)</f>
        <v>37742169.87</v>
      </c>
      <c r="G20" s="183"/>
      <c r="H20" s="183">
        <f>SUM(C20-F20)</f>
        <v>7.450580596923828E-09</v>
      </c>
    </row>
    <row r="21" spans="2:7" ht="21" thickTop="1">
      <c r="B21" s="75"/>
      <c r="C21" s="182"/>
      <c r="E21" s="75"/>
      <c r="F21" s="182"/>
      <c r="G21" s="183"/>
    </row>
    <row r="22" spans="5:6" ht="21">
      <c r="E22" s="75"/>
      <c r="F22" s="75"/>
    </row>
    <row r="23" ht="21">
      <c r="D23" s="75"/>
    </row>
    <row r="29" ht="21">
      <c r="E29" s="188">
        <f>SUM(6548505.08-4071978.68)</f>
        <v>2476526.4</v>
      </c>
    </row>
    <row r="30" spans="2:6" ht="21">
      <c r="B30" s="183">
        <f>SUM(C7+B8+B9)</f>
        <v>14433597.85</v>
      </c>
      <c r="F30" s="71">
        <f>SUM(3841652.03+46703-1671428.35)</f>
        <v>2216926.6799999997</v>
      </c>
    </row>
  </sheetData>
  <sheetProtection/>
  <mergeCells count="3">
    <mergeCell ref="A2:F2"/>
    <mergeCell ref="A3:F3"/>
    <mergeCell ref="A1:F1"/>
  </mergeCells>
  <printOptions/>
  <pageMargins left="0.5511811023622047" right="0" top="0.7874015748031497" bottom="0.3937007874015748" header="0.5118110236220472" footer="0.5118110236220472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7">
      <selection activeCell="E18" sqref="E18"/>
    </sheetView>
  </sheetViews>
  <sheetFormatPr defaultColWidth="9.140625" defaultRowHeight="12.75"/>
  <cols>
    <col min="1" max="1" width="4.28125" style="23" customWidth="1"/>
    <col min="2" max="2" width="56.7109375" style="23" customWidth="1"/>
    <col min="3" max="3" width="16.8515625" style="24" customWidth="1"/>
    <col min="4" max="4" width="17.28125" style="23" customWidth="1"/>
    <col min="5" max="5" width="20.28125" style="23" customWidth="1"/>
    <col min="6" max="16384" width="9.140625" style="23" customWidth="1"/>
  </cols>
  <sheetData>
    <row r="1" spans="1:4" ht="23.25">
      <c r="A1" s="47" t="s">
        <v>137</v>
      </c>
      <c r="B1" s="48"/>
      <c r="C1" s="25"/>
      <c r="D1" s="49"/>
    </row>
    <row r="2" spans="1:4" ht="23.25">
      <c r="A2" s="49"/>
      <c r="B2" s="49" t="s">
        <v>138</v>
      </c>
      <c r="C2" s="50">
        <v>16035782.89</v>
      </c>
      <c r="D2" s="51"/>
    </row>
    <row r="3" spans="1:4" ht="23.25">
      <c r="A3" s="49"/>
      <c r="B3" s="52" t="s">
        <v>144</v>
      </c>
      <c r="C3" s="50">
        <v>13267278</v>
      </c>
      <c r="D3" s="50"/>
    </row>
    <row r="4" spans="1:4" ht="23.25">
      <c r="A4" s="52"/>
      <c r="B4" s="49" t="s">
        <v>142</v>
      </c>
      <c r="C4" s="50"/>
      <c r="D4" s="50"/>
    </row>
    <row r="5" spans="1:4" ht="24" thickBot="1">
      <c r="A5" s="49"/>
      <c r="B5" s="49" t="s">
        <v>139</v>
      </c>
      <c r="C5" s="53">
        <f>SUM(C2-C3)</f>
        <v>2768504.8900000006</v>
      </c>
      <c r="D5" s="50"/>
    </row>
    <row r="6" spans="1:4" ht="24" thickTop="1">
      <c r="A6" s="26"/>
      <c r="B6" s="26"/>
      <c r="C6" s="29"/>
      <c r="D6" s="29"/>
    </row>
    <row r="7" spans="1:4" ht="23.25">
      <c r="A7" s="38" t="s">
        <v>143</v>
      </c>
      <c r="B7" s="26"/>
      <c r="C7" s="29"/>
      <c r="D7" s="29"/>
    </row>
    <row r="8" spans="1:4" ht="23.25">
      <c r="A8" s="26"/>
      <c r="B8" s="26" t="s">
        <v>48</v>
      </c>
      <c r="C8" s="29">
        <v>21230659.3</v>
      </c>
      <c r="D8" s="29"/>
    </row>
    <row r="9" spans="1:4" ht="23.25">
      <c r="A9" s="26"/>
      <c r="B9" s="37" t="s">
        <v>163</v>
      </c>
      <c r="C9" s="39">
        <f>SUM(21230659.3-4415777.74)</f>
        <v>16814881.560000002</v>
      </c>
      <c r="D9" s="29"/>
    </row>
    <row r="10" spans="1:4" ht="23.25">
      <c r="A10" s="37"/>
      <c r="B10" s="26" t="s">
        <v>140</v>
      </c>
      <c r="C10" s="29">
        <f>SUM(C8-C9)</f>
        <v>4415777.739999998</v>
      </c>
      <c r="D10" s="57">
        <f>SUM(C10+298)</f>
        <v>4416075.739999998</v>
      </c>
    </row>
    <row r="11" spans="1:4" ht="23.25">
      <c r="A11" s="26"/>
      <c r="B11" s="37" t="s">
        <v>141</v>
      </c>
      <c r="C11" s="29">
        <f>SUM(C10*25/100)</f>
        <v>1103944.4349999996</v>
      </c>
      <c r="D11" s="26"/>
    </row>
    <row r="12" spans="1:4" ht="24" thickBot="1">
      <c r="A12" s="26"/>
      <c r="B12" s="26" t="s">
        <v>189</v>
      </c>
      <c r="C12" s="27">
        <f>SUM(C10-C11)</f>
        <v>3311833.304999999</v>
      </c>
      <c r="D12" s="26"/>
    </row>
    <row r="13" spans="1:4" ht="24" thickTop="1">
      <c r="A13" s="26"/>
      <c r="B13" s="26"/>
      <c r="C13" s="29"/>
      <c r="D13" s="30"/>
    </row>
    <row r="14" spans="1:4" ht="23.25">
      <c r="A14" s="38"/>
      <c r="B14" s="189" t="s">
        <v>205</v>
      </c>
      <c r="C14" s="29"/>
      <c r="D14" s="29"/>
    </row>
    <row r="15" spans="1:4" ht="23.25">
      <c r="A15" s="26"/>
      <c r="B15" s="26"/>
      <c r="C15" s="29"/>
      <c r="D15" s="29"/>
    </row>
    <row r="16" spans="1:4" ht="23.25">
      <c r="A16" s="26"/>
      <c r="B16" s="49">
        <f>SUM(6820574*25/100)</f>
        <v>1705143.5</v>
      </c>
      <c r="D16" s="29">
        <f>SUM(C10*25/100)</f>
        <v>1103944.4349999996</v>
      </c>
    </row>
    <row r="17" spans="1:3" ht="23.25">
      <c r="A17" s="26"/>
      <c r="B17" s="26"/>
      <c r="C17" s="29"/>
    </row>
    <row r="19" ht="23.25">
      <c r="B19" s="28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3.00390625" style="160" customWidth="1"/>
    <col min="2" max="2" width="11.8515625" style="169" customWidth="1"/>
    <col min="3" max="3" width="14.8515625" style="160" customWidth="1"/>
    <col min="4" max="4" width="16.140625" style="160" customWidth="1"/>
    <col min="5" max="5" width="18.00390625" style="160" customWidth="1"/>
    <col min="6" max="6" width="19.7109375" style="161" customWidth="1"/>
    <col min="7" max="7" width="10.00390625" style="160" bestFit="1" customWidth="1"/>
    <col min="8" max="16384" width="9.140625" style="160" customWidth="1"/>
  </cols>
  <sheetData>
    <row r="1" spans="1:4" ht="21.75" customHeight="1">
      <c r="A1" s="208" t="s">
        <v>204</v>
      </c>
      <c r="B1" s="208"/>
      <c r="C1" s="208"/>
      <c r="D1" s="208"/>
    </row>
    <row r="2" spans="1:4" ht="21.75" customHeight="1">
      <c r="A2" s="208" t="s">
        <v>87</v>
      </c>
      <c r="B2" s="208"/>
      <c r="C2" s="208"/>
      <c r="D2" s="208"/>
    </row>
    <row r="3" spans="1:4" ht="21.75" customHeight="1">
      <c r="A3" s="208" t="s">
        <v>203</v>
      </c>
      <c r="B3" s="208"/>
      <c r="C3" s="208"/>
      <c r="D3" s="208"/>
    </row>
    <row r="4" spans="1:4" ht="21.75" customHeight="1">
      <c r="A4" s="162" t="s">
        <v>1</v>
      </c>
      <c r="B4" s="162" t="s">
        <v>74</v>
      </c>
      <c r="C4" s="162" t="s">
        <v>75</v>
      </c>
      <c r="D4" s="162" t="s">
        <v>76</v>
      </c>
    </row>
    <row r="5" spans="1:4" ht="21.75" customHeight="1">
      <c r="A5" s="170" t="s">
        <v>77</v>
      </c>
      <c r="B5" s="171"/>
      <c r="C5" s="61">
        <v>14083366.61</v>
      </c>
      <c r="D5" s="170"/>
    </row>
    <row r="6" spans="1:5" ht="21.75" customHeight="1">
      <c r="A6" s="65" t="s">
        <v>78</v>
      </c>
      <c r="B6" s="66"/>
      <c r="C6" s="63">
        <v>344239.24</v>
      </c>
      <c r="D6" s="65"/>
      <c r="E6" s="164"/>
    </row>
    <row r="7" spans="1:5" ht="21.75" customHeight="1">
      <c r="A7" s="65" t="s">
        <v>183</v>
      </c>
      <c r="B7" s="67"/>
      <c r="C7" s="63">
        <v>3087093.02</v>
      </c>
      <c r="D7" s="65"/>
      <c r="E7" s="164"/>
    </row>
    <row r="8" spans="1:4" ht="21.75" customHeight="1">
      <c r="A8" s="65" t="s">
        <v>80</v>
      </c>
      <c r="B8" s="66"/>
      <c r="C8" s="172">
        <v>5992</v>
      </c>
      <c r="D8" s="65"/>
    </row>
    <row r="9" spans="1:7" ht="21.75" customHeight="1">
      <c r="A9" s="65" t="s">
        <v>81</v>
      </c>
      <c r="B9" s="66">
        <v>700</v>
      </c>
      <c r="C9" s="65"/>
      <c r="D9" s="172">
        <v>5935593.54</v>
      </c>
      <c r="E9" s="164"/>
      <c r="G9" s="164"/>
    </row>
    <row r="10" spans="1:5" ht="21.75" customHeight="1">
      <c r="A10" s="65" t="s">
        <v>105</v>
      </c>
      <c r="B10" s="66">
        <v>900</v>
      </c>
      <c r="C10" s="65"/>
      <c r="D10" s="172">
        <v>7206187.97</v>
      </c>
      <c r="E10" s="164"/>
    </row>
    <row r="11" spans="1:5" ht="21.75" customHeight="1">
      <c r="A11" s="65" t="s">
        <v>107</v>
      </c>
      <c r="B11" s="66"/>
      <c r="C11" s="65"/>
      <c r="D11" s="172">
        <v>391970</v>
      </c>
      <c r="E11" s="164"/>
    </row>
    <row r="12" spans="1:4" ht="21.75" customHeight="1">
      <c r="A12" s="65" t="s">
        <v>106</v>
      </c>
      <c r="B12" s="66">
        <v>600</v>
      </c>
      <c r="C12" s="65"/>
      <c r="D12" s="172">
        <v>835747</v>
      </c>
    </row>
    <row r="13" spans="1:4" ht="21.75" customHeight="1">
      <c r="A13" s="65" t="s">
        <v>164</v>
      </c>
      <c r="B13" s="66">
        <v>3000</v>
      </c>
      <c r="C13" s="65"/>
      <c r="D13" s="172">
        <v>2553800</v>
      </c>
    </row>
    <row r="14" spans="1:10" ht="21.75" customHeight="1">
      <c r="A14" s="65" t="s">
        <v>83</v>
      </c>
      <c r="B14" s="66">
        <v>900</v>
      </c>
      <c r="C14" s="65"/>
      <c r="D14" s="172">
        <v>253153.12</v>
      </c>
      <c r="J14" s="160">
        <f>SUM(F14:I14)</f>
        <v>0</v>
      </c>
    </row>
    <row r="15" spans="1:4" ht="21.75" customHeight="1">
      <c r="A15" s="68" t="s">
        <v>84</v>
      </c>
      <c r="B15" s="69"/>
      <c r="C15" s="68"/>
      <c r="D15" s="173">
        <v>344239.24</v>
      </c>
    </row>
    <row r="16" spans="1:5" ht="21.75" customHeight="1" thickBot="1">
      <c r="A16" s="71"/>
      <c r="B16" s="72"/>
      <c r="C16" s="167">
        <f>SUM(C5:C15)</f>
        <v>17520690.87</v>
      </c>
      <c r="D16" s="168">
        <f>SUM(D5:D15)</f>
        <v>17520690.869999997</v>
      </c>
      <c r="E16" s="164"/>
    </row>
    <row r="17" spans="1:5" ht="21.75" customHeight="1" thickTop="1">
      <c r="A17" s="71"/>
      <c r="B17" s="72"/>
      <c r="C17" s="71"/>
      <c r="D17" s="71"/>
      <c r="E17" s="164"/>
    </row>
    <row r="18" spans="3:4" ht="21.75" customHeight="1">
      <c r="C18" s="164"/>
      <c r="D18" s="164"/>
    </row>
    <row r="19" ht="21.75" customHeight="1"/>
    <row r="20" ht="21.75" customHeight="1">
      <c r="C20" s="164"/>
    </row>
    <row r="21" ht="21.75" customHeight="1"/>
  </sheetData>
  <sheetProtection/>
  <mergeCells count="3">
    <mergeCell ref="A1:D1"/>
    <mergeCell ref="A2:D2"/>
    <mergeCell ref="A3:D3"/>
  </mergeCells>
  <printOptions/>
  <pageMargins left="0.5" right="0.25" top="1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2013-01-07T02:27:51Z</cp:lastPrinted>
  <dcterms:created xsi:type="dcterms:W3CDTF">1996-10-14T23:33:28Z</dcterms:created>
  <dcterms:modified xsi:type="dcterms:W3CDTF">2013-01-07T02:42:54Z</dcterms:modified>
  <cp:category/>
  <cp:version/>
  <cp:contentType/>
  <cp:contentStatus/>
</cp:coreProperties>
</file>